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1" sheetId="1" r:id="rId1"/>
    <sheet name="Mutqer" sheetId="2" r:id="rId2"/>
    <sheet name="Taxs Gorc" sheetId="3" r:id="rId3"/>
    <sheet name="Taxs tnt" sheetId="4" r:id="rId4"/>
    <sheet name="Deficit" sheetId="5" r:id="rId5"/>
    <sheet name="Deficit caxs" sheetId="6" r:id="rId6"/>
  </sheets>
  <definedNames/>
  <calcPr fullCalcOnLoad="1"/>
</workbook>
</file>

<file path=xl/sharedStrings.xml><?xml version="1.0" encoding="utf-8"?>
<sst xmlns="http://schemas.openxmlformats.org/spreadsheetml/2006/main" count="2147" uniqueCount="763">
  <si>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</si>
  <si>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</si>
  <si>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</si>
  <si>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</si>
  <si>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</si>
  <si>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9122</t>
  </si>
  <si>
    <t>6122</t>
  </si>
  <si>
    <t xml:space="preserve">  - ÷áË³ïíáõÃÛáõÝÝ»ñÇ ëï³óáõÙ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</si>
  <si>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</si>
  <si>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</si>
  <si>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</si>
  <si>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 8198-ñ¹, 8213-ñ¹, 8230-ñ¹ ¨ 8250-ñ¹ ïáÕ»ñáõÙ óáõó³ÝÇßÝ»ñÁ Ý»ñÏ³Û³óíáõÙ »Ý µ³ó³ë³Ï³Ý Ýß³Ýáí:</t>
    </r>
  </si>
  <si>
    <t>Ð²ÞìºîìàôÂÚàôÜ</t>
  </si>
  <si>
    <t xml:space="preserve">Ð²Ø²ÚÜøÆ ´ÚàôæºÆ ºÎ²ØàôîÜºðÆ Î²î²ðØ²Ü ìºð²´ºðÚ²È </t>
  </si>
  <si>
    <t>î³ñ»Ï³Ý Ñ³ëï³ïí³Í åÉ³Ý</t>
  </si>
  <si>
    <t>î³ñ»Ï³Ý ×ßïí³Í åÉ³Ý</t>
  </si>
  <si>
    <t>ö³ëï³óÇ</t>
  </si>
  <si>
    <t>îáÕÇ NN</t>
  </si>
  <si>
    <t>ºÏ³Ùï³ï»ë³ÏÝ»ñÁ</t>
  </si>
  <si>
    <t>Ðá¹í³ÍÇ NN</t>
  </si>
  <si>
    <t>ÀÝ¹³Ù»ÝÁ (ë.5+ë.6)</t>
  </si>
  <si>
    <t>³Û¹ ÃíáõÙ`</t>
  </si>
  <si>
    <t>ÀÝ¹³Ù»ÝÁ (ë.8+ë.9)</t>
  </si>
  <si>
    <t>ÀÝ¹³Ù»ÝÁ (ë.11+ë.12)</t>
  </si>
  <si>
    <t>í³ñã³Ï³Ý Ù³ë</t>
  </si>
  <si>
    <t>ýáÝ¹³ÛÇÝ Ù³ë</t>
  </si>
  <si>
    <t>1000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</si>
  <si>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</si>
  <si>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</si>
  <si>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</si>
  <si>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</si>
  <si>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</si>
  <si>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</si>
  <si>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</si>
  <si>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</si>
  <si>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</si>
  <si>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</si>
  <si>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</si>
  <si>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</si>
  <si>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</si>
  <si>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</si>
  <si>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</si>
  <si>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</si>
  <si>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</si>
  <si>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</si>
  <si>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</si>
  <si>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</si>
  <si>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</si>
  <si>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</si>
  <si>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</si>
  <si>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</si>
  <si>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</si>
  <si>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</si>
  <si>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</si>
  <si>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</si>
  <si>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</si>
  <si>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</si>
  <si>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</si>
  <si>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</si>
  <si>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</si>
  <si>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</si>
  <si>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</si>
  <si>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</si>
  <si>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µ) Þ³ÑáõÃ³Ñ³ñÏ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</si>
  <si>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</si>
  <si>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</si>
  <si>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</si>
  <si>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</si>
  <si>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</si>
  <si>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</si>
  <si>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</si>
  <si>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</si>
  <si>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</si>
  <si>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</si>
  <si>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</si>
  <si>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</si>
  <si>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</si>
  <si>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</si>
  <si>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1310</t>
  </si>
  <si>
    <t>1311</t>
  </si>
  <si>
    <t>1320</t>
  </si>
  <si>
    <t>3.2 Þ³Ñ³µ³ÅÇÝÝ»ñ</t>
  </si>
  <si>
    <t>1321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</si>
  <si>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</si>
  <si>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</si>
  <si>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</si>
  <si>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</si>
  <si>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</si>
  <si>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</si>
  <si>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</si>
  <si>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</si>
  <si>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</si>
  <si>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</si>
  <si>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</si>
  <si>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</si>
  <si>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</si>
  <si>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</si>
  <si>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1351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</si>
  <si>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</si>
  <si>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</si>
  <si>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</si>
  <si>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</si>
  <si>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</si>
  <si>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</si>
  <si>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</si>
  <si>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</si>
  <si>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</si>
  <si>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</si>
  <si>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</si>
  <si>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</si>
  <si>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</si>
  <si>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</si>
  <si>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1382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</si>
  <si>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</si>
  <si>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</si>
  <si>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</si>
  <si>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</si>
  <si>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</si>
  <si>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</si>
  <si>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</si>
  <si>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 xml:space="preserve"> Ð²Ø²ÚÜøÆ ´ÚàôæºÆ Ì²ÊêºðÆ Î²î²ðØ²Ü ìºð²´ºðÚ²È </t>
  </si>
  <si>
    <t>¥·áñÍ³é³Ï³Ý ¹³ë³Ï³ñ·Ù³Ùµ¤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</si>
  <si>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</si>
  <si>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</si>
  <si>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</si>
  <si>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</si>
  <si>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</si>
  <si>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</si>
  <si>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</si>
  <si>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</si>
  <si>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</si>
  <si>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</si>
  <si>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>(ë.10 + ë11)</t>
  </si>
  <si>
    <t>(ë.13 + ë14)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</si>
  <si>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</si>
  <si>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</si>
  <si>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</si>
  <si>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</si>
  <si>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</si>
  <si>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</si>
  <si>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</si>
  <si>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</si>
  <si>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</si>
  <si>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</si>
  <si>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</si>
  <si>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</si>
  <si>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</si>
  <si>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</si>
  <si>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</si>
  <si>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</si>
  <si>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</si>
  <si>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</si>
  <si>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</si>
  <si>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</si>
  <si>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</si>
  <si>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</si>
  <si>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</si>
  <si>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</si>
  <si>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</si>
  <si>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</si>
  <si>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</si>
  <si>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</si>
  <si>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</si>
  <si>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</si>
  <si>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</si>
  <si>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</si>
  <si>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</si>
  <si>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</si>
  <si>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</si>
  <si>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</si>
  <si>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</si>
  <si>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</si>
  <si>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</si>
  <si>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</si>
  <si>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</si>
  <si>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</si>
  <si>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</si>
  <si>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</si>
  <si>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</si>
  <si>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</si>
  <si>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</si>
  <si>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r>
      <t>³Û¹ ÃíáõÙ`
1.1 ¶áõÛù³ÛÇÝ Ñ³ñÏ»ñ ³Ýß³ñÅ ·áõÛùÇó (ïáÕ 111</t>
    </r>
    <r>
      <rPr>
        <sz val="10"/>
        <rFont val="Arial"/>
        <family val="0"/>
      </rPr>
      <t>1+</t>
    </r>
    <r>
      <rPr>
        <sz val="10"/>
        <rFont val="Arial Armenian"/>
        <family val="2"/>
      </rPr>
      <t xml:space="preserve"> ïáÕ </t>
    </r>
    <r>
      <rPr>
        <sz val="10"/>
        <rFont val="Arial"/>
        <family val="0"/>
      </rPr>
      <t>1112)</t>
    </r>
  </si>
  <si>
    <r>
      <t>³Û¹ ÃíáõÙª 1. Ð²ðÎºð ºì îàôðøºð (</t>
    </r>
    <r>
      <rPr>
        <sz val="10"/>
        <rFont val="Arial Armenian"/>
        <family val="2"/>
      </rPr>
      <t>ïáÕ 1110 + ïáÕ 1120</t>
    </r>
    <r>
      <rPr>
        <sz val="11"/>
        <color indexed="17"/>
        <rFont val="Calibri"/>
        <family val="2"/>
      </rPr>
      <t xml:space="preserve"> </t>
    </r>
    <r>
      <rPr>
        <sz val="11"/>
        <color indexed="17"/>
        <rFont val="Arial Armenian"/>
        <family val="2"/>
      </rPr>
      <t>+ ïáÕ 1130 + ïáÕ 1150 + ïáÕ 1160)</t>
    </r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</si>
  <si>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</si>
  <si>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</si>
  <si>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</si>
  <si>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</si>
  <si>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</si>
  <si>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</si>
  <si>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</si>
  <si>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</si>
  <si>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</si>
  <si>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</si>
  <si>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</si>
  <si>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</si>
  <si>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</si>
  <si>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</si>
  <si>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</si>
  <si>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</si>
  <si>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</si>
  <si>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</si>
  <si>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</si>
  <si>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</si>
  <si>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</si>
  <si>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</si>
  <si>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</si>
  <si>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</si>
  <si>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</si>
  <si>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</si>
  <si>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</si>
  <si>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</si>
  <si>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</si>
  <si>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</si>
  <si>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</si>
  <si>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</si>
  <si>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</si>
  <si>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</si>
  <si>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</si>
  <si>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</si>
  <si>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</si>
  <si>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</si>
  <si>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</si>
  <si>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</si>
  <si>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</si>
  <si>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</si>
  <si>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</si>
  <si>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</si>
  <si>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</si>
  <si>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</si>
  <si>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</si>
  <si>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</si>
  <si>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</si>
  <si>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</si>
  <si>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</si>
  <si>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</si>
  <si>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</si>
  <si>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</si>
  <si>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</si>
  <si>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</si>
  <si>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</si>
  <si>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</si>
  <si>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</si>
  <si>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</si>
  <si>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</si>
  <si>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</si>
  <si>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</si>
  <si>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</si>
  <si>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</si>
  <si>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</si>
  <si>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</si>
  <si>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</si>
  <si>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</si>
  <si>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</si>
  <si>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</si>
  <si>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</si>
  <si>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</si>
  <si>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</si>
  <si>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</si>
  <si>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</si>
  <si>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</si>
  <si>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</si>
  <si>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</si>
  <si>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</si>
  <si>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</si>
  <si>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</si>
  <si>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</si>
  <si>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</si>
  <si>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</si>
  <si>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</si>
  <si>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</si>
  <si>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</si>
  <si>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</si>
  <si>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</si>
  <si>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</si>
  <si>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</si>
  <si>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</si>
  <si>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</si>
  <si>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</si>
  <si>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</si>
  <si>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</si>
  <si>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</si>
  <si>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</si>
  <si>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</si>
  <si>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</si>
  <si>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</si>
  <si>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</si>
  <si>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</si>
  <si>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</si>
  <si>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</si>
  <si>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</si>
  <si>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</si>
  <si>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</si>
  <si>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</si>
  <si>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</si>
  <si>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</si>
  <si>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</si>
  <si>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</si>
  <si>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</si>
  <si>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</si>
  <si>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</si>
  <si>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</si>
  <si>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</si>
  <si>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</si>
  <si>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</si>
  <si>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</si>
  <si>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</si>
  <si>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</si>
  <si>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</si>
  <si>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</si>
  <si>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</si>
  <si>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</si>
  <si>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</si>
  <si>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</si>
  <si>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</si>
  <si>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</si>
  <si>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</si>
  <si>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</si>
  <si>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</si>
  <si>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</si>
  <si>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</si>
  <si>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</si>
  <si>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</si>
  <si>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</si>
  <si>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</si>
  <si>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 xml:space="preserve">        Ð³í»Éí³Í 2</t>
  </si>
  <si>
    <t>ÐÐ ýÇÝ³ÝëÝ»ñÇ  Ý³Ë³ñ³ñÇ</t>
  </si>
  <si>
    <t xml:space="preserve"> 2009 Ãí³Ï³ÝÇ                </t>
  </si>
  <si>
    <t xml:space="preserve">  N         -Ü Ññ³Ù³ÝÇ</t>
  </si>
  <si>
    <t>úñÇÝ³Ï»ÉÇ Ó¨ Ð-9</t>
  </si>
  <si>
    <t xml:space="preserve">Ð²Ø²ÚÜøÆ ´ÚàôæºÆ  Î²î²ðØ²Ü ìºð²´ºðÚ²È </t>
  </si>
  <si>
    <t>2. öáëï³ÛÇÝ Ñ³ëó»Ý ù. ¸ÇÉÇç³Ý ØÛ³ëÝÇÏÛ³Ý 55</t>
  </si>
  <si>
    <t xml:space="preserve">3. Ð³Ù³ÛÝùÇ ï»Õ³µ³ßËÙ³Ý  Ù³ñ½Á  ¨  Ñ³Ù³ÛÝùÇ Ïá¹Á     </t>
  </si>
  <si>
    <t xml:space="preserve">    Áëï µÛáõç»ï³ÛÇÝ  Í³Ëë»ñÇ  ï³ñ³Íù³ÛÇÝ  ¹³ë³Ï³ñ·Ù³Ý______________________</t>
  </si>
  <si>
    <t>4. Ð³Ù³ÛÝùÇÝ ëå³ë³ñÏáÕ ¶³ÝÓ³å»ï³Ï³Ý ëïáñ³µ³Å³ÝÙ³Ç ³Ýí³ÝáõÙÁ__________</t>
  </si>
  <si>
    <t>5. Ð³Ù³ÛÝùÇª  ¶³ÝÓ³å»ï³Ï³Ý ëïáñ³µ³Å³ÝáõÙáõÙ  Ñ³ßí³éÙ³Ý   Ñ³Ù³ñÁ_________</t>
  </si>
  <si>
    <t xml:space="preserve">6. Ì³Ëë»ñÇ  ýÇÝ³Ýë³íáñÙ³Ý  ³ÕµÛáõñÇ  Ïá¹Á` (Ñ³Ù³ÛÝùÇ µÛáõç»ª 2)  </t>
  </si>
  <si>
    <r>
      <t xml:space="preserve">7. â³÷Ç ÙÇ³íáñÁª </t>
    </r>
    <r>
      <rPr>
        <i/>
        <sz val="10"/>
        <rFont val="Arial Armenian"/>
        <family val="2"/>
      </rPr>
      <t>Ñ³½³ñ ¹ñ³Ù</t>
    </r>
  </si>
  <si>
    <t xml:space="preserve">                            Î.î.               </t>
  </si>
  <si>
    <t>(².².Ð.)</t>
  </si>
  <si>
    <t>¥ïÝï»ë³·Çï³Ï³Ý ¹³ë³Ï³ñ·Ù³Ùµ¤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</si>
  <si>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</si>
  <si>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</si>
  <si>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</si>
  <si>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</si>
  <si>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</si>
  <si>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</si>
  <si>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</si>
  <si>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</si>
  <si>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</si>
  <si>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</si>
  <si>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³Û¹ ÃíáõÙ`¶áõÛù³Ñ³ñÏ Ñ³Ù³ÛÝùÝ»ñÇ í³ñã³Ï³Ý ï³ñ³ÍùÝ»ñáõÙ ·ïÝíáÕ ß»Ýù»ñÇ ¨ ßÇÝáõÃÛáõÝÝ»ñÇ Ñ³Ù³ñ</t>
  </si>
  <si>
    <t>³Û¹ ÃíáõÙ`                                                                   ¶áõÛù³Ñ³ñÏ ÷áË³¹ñ³ÙÇçáóÝ»ñÇ Ñ³Ù³ñ</t>
  </si>
  <si>
    <t xml:space="preserve">³Û¹ ÃíáõÙ`³)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</si>
  <si>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³³) ÐÇÙÝ³Ï³Ý ßÇÝáõÃÛáõÝÝ»ñÇ Ñ³Ù³ñ</t>
  </si>
  <si>
    <t>³Û¹ ÃíáõÙ`Ð³Ù³ÛÝùÇ µÛáõç» í×³ñíáÕ å»ï³Ï³Ý ïáõñù»ñ       (ïáÕ 1152 + ïáÕ 1153 )</t>
  </si>
  <si>
    <t xml:space="preserve">³Û¹ ÃíáõÙ`³)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</si>
  <si>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áñÇó`  ³) ºÏ³Ùï³Ñ³ñÏ</t>
  </si>
  <si>
    <t>³Û¹ ÃíáõÙ`úñ»Ýùáí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</si>
  <si>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³Û¹ ÃíáõÙ`Ð³Ù³ÛÝùÇ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</si>
  <si>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</si>
  <si>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</si>
  <si>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</si>
  <si>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áñÇó`ºñ¨³Ý ù³Õ³ùÇ Ñ³Ù³ù³Õ³ù³ÛÇÝ Ýß³Ý³ÏáõÃÛ³Ý Í³Ëë»ñÇ ýÇÝ³Ýë³íáñÙ³Ý Ýå³ï³Ïáí Ó¨³íáñí³Í ÙÇçáóÝ»ñÇó </t>
  </si>
  <si>
    <t>³Û¹ ÃíáõÙ`³) ä»ï³Ï³Ý µÛáõç»Çó Ï³åÇï³É Í³Ëë»ñÇ ýÇÝ³Ýë³íáñÙ³Ý Ýå³ï³Ï³ÛÇÝ Ñ³ïÏ³óáõÙÝ»ñ (ëáõµí»ÝóÇ³Ý»ñ)</t>
  </si>
  <si>
    <r>
      <t xml:space="preserve">   3. ²ÚÈ ºÎ²ØàôîÜºð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</si>
  <si>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4729</t>
  </si>
  <si>
    <t>³Û¹ ÃíáõÙ`úñ»Ýùáí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</si>
  <si>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</si>
  <si>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</si>
  <si>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</si>
  <si>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ÃíáõÙ`î»Õ³Ï³Ý í×³ñÝ»ñ</t>
  </si>
  <si>
    <t>³Û¹ ÃíáõÙ`ì³ñã³Ï³Ý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</si>
  <si>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</si>
  <si>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</si>
  <si>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>3.9²ÛÉ »Ï³ÙáõïÝ»ñ</t>
    </r>
    <r>
      <rPr>
        <sz val="10"/>
        <rFont val="Arial Armenian"/>
        <family val="2"/>
      </rPr>
      <t>(ïáÕ1391+ïáÕ1392+ïáÕ1393)</t>
    </r>
  </si>
  <si>
    <t xml:space="preserve">³Û¹ ÃíáõÙ`Ð³Ù³ÛÝùÇ ·áõÛùÇÝ å³ï×³é³Í íÝ³ëÝ»ñÇ ÷áËÑ³ïáõóáõÙÇó Ùáõïù»ñ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</si>
  <si>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</si>
  <si>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</si>
  <si>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</si>
  <si>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</si>
  <si>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</si>
  <si>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</si>
  <si>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</si>
  <si>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</si>
  <si>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</si>
  <si>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</si>
  <si>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</si>
  <si>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</si>
  <si>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** </t>
    </r>
    <r>
      <rPr>
        <sz val="8"/>
        <rFont val="Arial Armenian"/>
        <family val="2"/>
      </rPr>
      <t>Ü»ñÏ³Û³óíáõÙ ¿ ¹ñ³Ù³ñÏÕ³ÛÇÝ Í³ËëÁ:</t>
    </r>
  </si>
  <si>
    <r>
      <t xml:space="preserve">             ÀÜ¸²ØºÜÀ    Ì²Êêºð              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</si>
  <si>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8"/>
        <rFont val="Arial Armenian"/>
        <family val="2"/>
      </rPr>
      <t xml:space="preserve">(ïáÕ4100+ïáÕ4200+ïáÕ4300+ïáÕ4400+ïáÕ4500+ ïáÕ4600+ïáÕ4700)    </t>
    </r>
    <r>
      <rPr>
        <b/>
        <sz val="8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</si>
  <si>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 </t>
    </r>
    <r>
      <rPr>
        <b/>
        <sz val="8"/>
        <rFont val="Arial Armenian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</si>
  <si>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</si>
  <si>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 </t>
    </r>
    <r>
      <rPr>
        <b/>
        <sz val="8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</si>
  <si>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²ðî²øÆÜ îàÎàê²ìÖ²ðÜºð </t>
    </r>
    <r>
      <rPr>
        <sz val="8"/>
        <rFont val="Arial Armenian"/>
        <family val="2"/>
      </rPr>
      <t>(ïáÕ4321+ïáÕ4322)</t>
    </r>
  </si>
  <si>
    <r>
      <t xml:space="preserve">1.4 êàô´êÆ¸Æ²Üºð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</si>
  <si>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àâ äºî²Î²Ü (àâ Ð²Ø²ÚÜø²ÚÆÜ) Î²¼Ø²ÎºðäàôÂÚàôÜÜºðÆÜ </t>
    </r>
    <r>
      <rPr>
        <sz val="8"/>
        <rFont val="Arial Armenian"/>
        <family val="2"/>
      </rPr>
      <t>(ïáÕ4421+ïáÕ4422)</t>
    </r>
  </si>
  <si>
    <r>
      <t xml:space="preserve"> -</t>
    </r>
    <r>
      <rPr>
        <b/>
        <sz val="8"/>
        <rFont val="Arial Armenian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</si>
  <si>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</t>
    </r>
    <r>
      <rPr>
        <sz val="8"/>
        <rFont val="Arial Armenian"/>
        <family val="2"/>
      </rPr>
      <t xml:space="preserve"> (ïáÕ4531+ïáÕ4532+ïáÕ4533)</t>
    </r>
  </si>
  <si>
    <r>
      <t xml:space="preserve"> - ²ÛÉ ÁÝÃ³óÇÏ ¹ñ³Ù³ßÝáñÑÝ»ñ                                                           </t>
    </r>
    <r>
      <rPr>
        <sz val="8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</si>
  <si>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rFont val="Arial Armenian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</si>
  <si>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Armenian"/>
        <family val="2"/>
      </rPr>
      <t xml:space="preserve"> (ïáÕ 4544+ïáÕ 4547 +ïáÕ 4548)</t>
    </r>
  </si>
  <si>
    <r>
      <t xml:space="preserve"> -</t>
    </r>
    <r>
      <rPr>
        <b/>
        <sz val="8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</si>
  <si>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</si>
  <si>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rFont val="Arial Armenian"/>
        <family val="2"/>
      </rPr>
      <t xml:space="preserve"> </t>
    </r>
    <r>
      <rPr>
        <b/>
        <i/>
        <sz val="8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</si>
  <si>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8"/>
        <rFont val="Arial Armenian"/>
        <family val="2"/>
      </rPr>
      <t xml:space="preserve">²ÚÈ Ì²Êêºð </t>
    </r>
    <r>
      <rPr>
        <sz val="8"/>
        <rFont val="Arial Armenian"/>
        <family val="2"/>
      </rPr>
      <t>(ïáÕ4761)</t>
    </r>
  </si>
  <si>
    <r>
      <t xml:space="preserve">ä²Ðàôêî²ÚÆÜ ØÆæàòÜºð </t>
    </r>
    <r>
      <rPr>
        <sz val="8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</si>
  <si>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8"/>
        <rFont val="Arial Armenian"/>
        <family val="2"/>
      </rPr>
      <t>(ïáÕ5100+ïáÕ5200+ïáÕ5300+ïáÕ5400)</t>
    </r>
  </si>
  <si>
    <r>
      <t xml:space="preserve"> ¶. àâ üÆÜ²Üê²Î²Ü ²ÎîÆìÜºðÆ Æð²òàôØÆò Øàôîøºð </t>
    </r>
    <r>
      <rPr>
        <sz val="8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</si>
  <si>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8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</si>
  <si>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</si>
  <si>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8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</si>
  <si>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8"/>
        <rFont val="Arial Armenian"/>
        <family val="2"/>
      </rPr>
      <t xml:space="preserve"> </t>
    </r>
    <r>
      <rPr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</si>
  <si>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8"/>
        <rFont val="Arial Armenian"/>
        <family val="2"/>
      </rPr>
      <t xml:space="preserve">`                                                   </t>
    </r>
    <r>
      <rPr>
        <sz val="8"/>
        <rFont val="Arial Armenian"/>
        <family val="2"/>
      </rPr>
      <t>(ïáÕ6410+ïáÕ6420+ïáÕ6430+ïáÕ6440)</t>
    </r>
  </si>
  <si>
    <t>** Ü»ñÏ³Û³óíáõÙ ¿ ¹ñ³Ù³ñÏÕ³ÛÇÝ Í³ËëÁ:</t>
  </si>
  <si>
    <r>
      <t xml:space="preserve">                              ´. ²ðî²øÆÜ ²Ô´ÚàôðÜºð    </t>
    </r>
    <r>
      <rPr>
        <sz val="9"/>
        <rFont val="Arial Armenian"/>
        <family val="2"/>
      </rPr>
      <t>(ïáÕ 8210)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</si>
  <si>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</si>
  <si>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</si>
  <si>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</si>
  <si>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</si>
  <si>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</si>
  <si>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</si>
  <si>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</si>
  <si>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</si>
  <si>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</si>
  <si>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</si>
  <si>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</si>
  <si>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</si>
  <si>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</si>
  <si>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</si>
  <si>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</si>
  <si>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</si>
  <si>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</si>
  <si>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</si>
  <si>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</si>
  <si>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</si>
  <si>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</si>
  <si>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</si>
  <si>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</si>
  <si>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</si>
  <si>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</si>
  <si>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</si>
  <si>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</si>
  <si>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</si>
  <si>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</si>
  <si>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</si>
  <si>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</si>
  <si>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</si>
  <si>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</si>
  <si>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</si>
  <si>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</si>
  <si>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</si>
  <si>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</si>
  <si>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</si>
  <si>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</si>
  <si>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</si>
  <si>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</si>
  <si>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</si>
  <si>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</si>
  <si>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</si>
  <si>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</si>
  <si>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</si>
  <si>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</si>
  <si>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</si>
  <si>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</si>
  <si>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</si>
  <si>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</si>
  <si>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</si>
  <si>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</si>
  <si>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</si>
  <si>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</si>
  <si>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</si>
  <si>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</si>
  <si>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</si>
  <si>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</si>
  <si>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</si>
  <si>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</si>
  <si>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</si>
  <si>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</si>
  <si>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</si>
  <si>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</si>
  <si>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</si>
  <si>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</si>
  <si>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</si>
  <si>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</si>
  <si>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</si>
  <si>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</si>
  <si>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</si>
  <si>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</si>
  <si>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</si>
  <si>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</si>
  <si>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</si>
  <si>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</si>
  <si>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</si>
  <si>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</si>
  <si>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</si>
  <si>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</si>
  <si>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</si>
  <si>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</si>
  <si>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</si>
  <si>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</si>
  <si>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</si>
  <si>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</si>
  <si>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</si>
  <si>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</si>
  <si>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</si>
  <si>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</si>
  <si>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</si>
  <si>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</si>
  <si>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</si>
  <si>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</si>
  <si>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</si>
  <si>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</si>
  <si>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</si>
  <si>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</si>
  <si>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</si>
  <si>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</si>
  <si>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</si>
  <si>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</si>
  <si>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</si>
  <si>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</si>
  <si>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</si>
  <si>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</si>
  <si>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</si>
  <si>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</si>
  <si>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</si>
  <si>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</si>
  <si>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</si>
  <si>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</si>
  <si>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</si>
  <si>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</si>
  <si>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</si>
  <si>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</si>
  <si>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</si>
  <si>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</si>
  <si>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</si>
  <si>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</si>
  <si>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</si>
  <si>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</si>
  <si>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</si>
  <si>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</si>
  <si>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</si>
  <si>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</si>
  <si>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</si>
  <si>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</si>
  <si>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</si>
  <si>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</si>
  <si>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</si>
  <si>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</si>
  <si>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</si>
  <si>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</si>
  <si>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</si>
  <si>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</si>
  <si>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</si>
  <si>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</si>
  <si>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</si>
  <si>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</si>
  <si>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</si>
  <si>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</si>
  <si>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</si>
  <si>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</si>
  <si>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</si>
  <si>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</si>
  <si>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</si>
  <si>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</si>
  <si>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</si>
  <si>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</si>
  <si>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</si>
  <si>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</si>
  <si>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>·)úñ»Ýùáí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</si>
  <si>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</si>
  <si>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1342+ ïáÕ1343)</t>
    </r>
  </si>
  <si>
    <t>1343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</si>
  <si>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</si>
  <si>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</si>
  <si>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(h³Ù³ÛÝù³ÛÇÝ) áã ýÇÝ³Ýë³Ï³Ý Ï³½Ù³Ï»ñåáõÃÛáõÝÝ»ñÇÝ 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</si>
  <si>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 (ïáÕ 8010- ïáÕ 8200)</t>
    </r>
  </si>
  <si>
    <t xml:space="preserve"> 1.1. ²ñÅ»ÃÕÃ»ñ (µ³ó³éáõÃÛ³Ùµ µ³ÅÝ»ïáÙë»ñÇ ¨ Ï³åÇï³ÉáõÙ ³ÛÉ Ù³ëÝ³ÏóáõÃÛ³Ý) (ïáÕ 8112+ ïáÕ 8113)</t>
  </si>
  <si>
    <t>1.2.1. ì³ñÏ»ñ (ïáÕ 8122+ ïáÕ 8130)</t>
  </si>
  <si>
    <t xml:space="preserve">  - í³ñÏ»ñÇ ëï³óáõÙ (ïáÕ 8123+ ïáÕ 8124)</t>
  </si>
  <si>
    <t xml:space="preserve">  - ëï³óí³Í í³ñÏ»ñÇ ÑÇÙÝ³Ï³Ý  ·áõÙ³ñÇ Ù³ñáõÙ (ïáÕ 8131+ ïáÕ 8132)</t>
  </si>
  <si>
    <t>1.2.2. öáË³ïíáõÃÛáõÝÝ»ñ (ïáÕ 8141+ ïáÕ 8150)</t>
  </si>
  <si>
    <t xml:space="preserve">  - µÛáõç»ï³ÛÇÝ ÷áË³ïíáõÃÛáõÝÝ»ñÇ ëï³óáõÙ (ïáÕ 8142+ ïáÕ 8143)</t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</si>
  <si>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</si>
  <si>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  - ëï³óí³Í ÷áË³ïíáõÃÛáõÝÝ»ñÇ ·áõÙ³ñÇ Ù³ñáõÙ (ïáÕ 8151+ ïáÕ 8152)</t>
  </si>
  <si>
    <t xml:space="preserve">2.1. ´³ÅÝ»ïáÙë»ñ ¨ Ï³åÇï³ÉáõÙ ³ÛÉ Ù³ëÝ³ÏóáõÃÛáõÝ (ïáÕ 8162+ïáÕ 8163+ ïáÕ 8164) </t>
  </si>
  <si>
    <t>2.2. öáË³ïíáõÃÛáõÝÝ»ñ (ïáÕ 8171+ ïáÕ 8172)</t>
  </si>
  <si>
    <t>2.3. Ð³Ù³ÛÝùÇ µÛáõç»Ç ÙÇçáóÝ»ñÇ ï³ñ»ëÏ½µÇ ³½³ï  ÙÝ³óáñ¹Á`  (ïáÕ 8191+ïáÕ 8194- ïáÕ 8193)</t>
  </si>
  <si>
    <t xml:space="preserve"> 1.1. ²ñÅ»ÃÕÃ»ñ (µ³ó³éáõÃÛ³Ùµ µ³ÅÝ»ïáÙë»ñÇ ¨ Ï³åÇï³ÉáõÙ ³ÛÉ Ù³ëÝ³ÏóáõÃÛ³Ý) (ïáÕ 8212+ ïáÕ 8213)</t>
  </si>
  <si>
    <t>1.2.1. ì³ñÏ»ñ (ïáÕ 8222+ ïáÕ 8230)</t>
  </si>
  <si>
    <t>1.2.2. öáË³ïíáõÃÛáõÝÝ»ñ (ïáÕ 8241+ ïáÕ 8250)</t>
  </si>
  <si>
    <r>
      <t>1.2. ì³ñÏ»ñ ¨ ÷áË³ïíáõÃÛáõÝÝ»ñ (ëï³óáõÙ ¨ Ù³ñáõÙ)       (</t>
    </r>
    <r>
      <rPr>
        <sz val="9"/>
        <rFont val="Arial Armenian"/>
        <family val="2"/>
      </rPr>
      <t>ïáÕ 121+ïáÕ8140)</t>
    </r>
    <r>
      <rPr>
        <b/>
        <sz val="9"/>
        <rFont val="Arial Armenian"/>
        <family val="2"/>
      </rPr>
      <t xml:space="preserve"> </t>
    </r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</si>
  <si>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</si>
  <si>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</si>
  <si>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</si>
  <si>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</si>
  <si>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</si>
  <si>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</si>
  <si>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</si>
  <si>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</si>
  <si>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</si>
  <si>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</si>
  <si>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</si>
  <si>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</si>
  <si>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</si>
  <si>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</si>
  <si>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</si>
  <si>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</si>
  <si>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</si>
  <si>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</si>
  <si>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</si>
  <si>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</si>
  <si>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</si>
  <si>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</si>
  <si>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</si>
  <si>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</si>
  <si>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</si>
  <si>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</si>
  <si>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</si>
  <si>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</si>
  <si>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</si>
  <si>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</si>
  <si>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</si>
  <si>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</si>
  <si>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</si>
  <si>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</si>
  <si>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</si>
  <si>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</si>
  <si>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</si>
  <si>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</si>
  <si>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</si>
  <si>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</si>
  <si>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</si>
  <si>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</si>
  <si>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</si>
  <si>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</si>
  <si>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</si>
  <si>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</si>
  <si>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</si>
  <si>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</si>
  <si>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</si>
  <si>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</si>
  <si>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</si>
  <si>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</si>
  <si>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</si>
  <si>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</si>
  <si>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</si>
  <si>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</si>
  <si>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</si>
  <si>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</si>
  <si>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</si>
  <si>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</si>
  <si>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</si>
  <si>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</si>
  <si>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</si>
  <si>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</si>
  <si>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</si>
  <si>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</si>
  <si>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</si>
  <si>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</si>
  <si>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</si>
  <si>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</si>
  <si>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</si>
  <si>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</si>
  <si>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</si>
  <si>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</si>
  <si>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</si>
  <si>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</si>
  <si>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</si>
  <si>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</si>
  <si>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</si>
  <si>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r>
      <t>³Û¹ ÃíáõÙ`2.1  ÀÝÃ³óÇÏ ³ñï³ùÇÝ å³ßïáÝ³Ï³Ý ¹ñ³Ù³ß</t>
    </r>
    <r>
      <rPr>
        <sz val="8"/>
        <rFont val="Arial"/>
        <family val="2"/>
      </rPr>
      <t>ÝáñÑÝ»ñ` ëï³óí³Í ³ÛÉ å»ïáõÃÛáõÝÝ»ñÇó</t>
    </r>
  </si>
  <si>
    <t>³Û¹ ÃíáõÙ` 3.1 îáÏáëÝ»ñ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</si>
  <si>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</si>
  <si>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</si>
  <si>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</si>
  <si>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</si>
  <si>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</si>
  <si>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</si>
  <si>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</si>
  <si>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</si>
  <si>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</si>
  <si>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</si>
  <si>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</si>
  <si>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</si>
  <si>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</si>
  <si>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</si>
  <si>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</si>
  <si>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</si>
  <si>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</si>
  <si>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</si>
  <si>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</si>
  <si>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</si>
  <si>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</si>
  <si>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</si>
  <si>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</si>
  <si>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</si>
  <si>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</si>
  <si>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</si>
  <si>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</si>
  <si>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</si>
  <si>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 xml:space="preserve">Ð²Ø²ÚÜøÆ ´ÚàôæºÆ Ð²ìºÈàôð¸Æ Î²Ø ä²Î²êàôð¸Æ (¸ºüÆòÆîÆ) Î²î²ðØ²Ü ìºð²´ºðÚ²È </t>
  </si>
  <si>
    <t xml:space="preserve">îáÕÇ NN  </t>
  </si>
  <si>
    <t>(ë.4 + ë5)</t>
  </si>
  <si>
    <t>í³ñã³Ï³Ý µÛáõç»</t>
  </si>
  <si>
    <t>ýáÝ¹³ÛÇÝ µÛáõç»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</si>
  <si>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</si>
  <si>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</si>
  <si>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</si>
  <si>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</si>
  <si>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</si>
  <si>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 xml:space="preserve">Ð²Ø²ÚÜøÆ ´ÚàôæºÆ Ð²ìºÈàôð¸Æ ú¶î²¶àðÌØ²Ü àôÔÔàôÂÚàôÜÜºðÆ Î²Ø ä²Î²êàôð¸Æ (¸ºüÆòÆîÆ) üÆÜ²Üê²ìàðØ²Ü ²Ô´ÚàôðÜºðÆ Î²î²ðØ²Ü  ìºð²´ºðÚ²È 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</si>
  <si>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</si>
  <si>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</si>
  <si>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</si>
  <si>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</si>
  <si>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</si>
  <si>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</si>
  <si>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</si>
  <si>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</si>
  <si>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</si>
  <si>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</si>
  <si>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</si>
  <si>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</si>
  <si>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</si>
  <si>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</si>
  <si>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</si>
  <si>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</si>
  <si>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</si>
  <si>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</si>
  <si>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</si>
  <si>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</si>
  <si>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</si>
  <si>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</si>
  <si>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</si>
  <si>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</si>
  <si>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</si>
  <si>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</si>
  <si>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</si>
  <si>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</si>
  <si>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</si>
  <si>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</si>
  <si>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</si>
  <si>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</si>
  <si>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</si>
  <si>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</si>
  <si>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</si>
  <si>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</si>
  <si>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</si>
  <si>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</si>
  <si>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</si>
  <si>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Ä·) ²íïáÏ³Û³Ý³ï»ÕÇ Ñ³Ù³ñ</t>
  </si>
  <si>
    <t>Ä¹) Ð³Ù³ÛÝùÇ ï³ñ³ÍùáõÙ ·ïÝíáÕ Ë³ÝáõÃÝ»ñáõÙ, Ïñå³ÏÝ»ñáõÙ ï»ËÝÇÏ³Ï³Ý Ñ»ÕáõÏÝ»ñÇ í³×³éùÇ ÃáõÛÉïíáõÃÛ³Ý Ñ³Ù³ñ</t>
  </si>
  <si>
    <t>Ä») Ð³Ù³ÛÝùÇ ï³ñ³ÍùáõÙ Ñ³Ýñ³ÛÇÝ ëÝÝ¹Ç Ï³½Ù³Ï»ñåÙ³Ý ¨ Çñ³óÙ³Ý ÃáõÛÉïíáõÃÛ³Ý Ñ³Ù³ñ</t>
  </si>
  <si>
    <t>Ä½) Ð³Û³ëï³ÝÇ Ð³Ýñ³å»ïáõÃÛ³Ý Ñ³Ù³ÛÝùÝ»ñÇ ³Ýí³ÝáõÙÝ»ñÁ ýÇñÙ³ÛÇÝ ³Ýí³ÝáõÙÝ»ñáõÙ û·ï³·áñÍ»Éáõ ÃáõÛÉïíáõÃÛ³Ý Ñ³Ù³ñ</t>
  </si>
  <si>
    <t>Ä¿) ²ÛÉ ï»Õ³Ï³Ý ïáõñù»ñ</t>
  </si>
  <si>
    <t>³Û¹ ÃíáõÙ` î»Õ³Ï³Ý ïáõñù»ñ (ïáÕ1132+ïáÕ1135 + ïáÕ1136+ïáÕ1137+ïáÕ1138+ïáÕ1139+ïáÕ1140+ïáÕ1141+ïáÕ1142+ïáÕ1143+ïáÕ 1144+ïáÕ 1145ïáÕ +1146ïáÕ+ 1147+ïáÕ 1148+ïáÕ 1149+ïáÕ 1150)</t>
  </si>
  <si>
    <t>1. Ð³Ù³ÛÝùÇ ³Ýí³ÝáõÙÁ ¸ÇÉÇç³ÝÇ Ñ³Ù³ÛÝù³å»ï³ñ³Ý</t>
  </si>
  <si>
    <t>(01.01. 2018Ã. - 01.10.2018Ã. Å³Ù³Ý³Ï³Ñ³ïí³ÍÇ Ñ³Ù³ñ)</t>
  </si>
  <si>
    <t xml:space="preserve">§01¦ Հոկտեմբերի  2018Ã.                  </t>
  </si>
  <si>
    <t>(01.01.2018Ã. - 01.10.2018Ã. Å³Ù³Ý³Ï³Ñ³ïí³ÍÇ Ñ³Ù³ñ)</t>
  </si>
  <si>
    <t>Ð²Ø²ÚÜøÆ ÔºÎ²ì²ð`</t>
  </si>
  <si>
    <t>². ՍԱՆԹՐՈՍՅԱՆ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</si>
</sst>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0"/>
    <numFmt numFmtId="190" formatCode="000"/>
    <numFmt numFmtId="191" formatCode="0.0"/>
    <numFmt numFmtId="192" formatCode="#,##0.000"/>
    <numFmt numFmtId="193" formatCode="#,##0.0000"/>
    <numFmt numFmtId="194" formatCode="0.000"/>
  </numFmts>
  <fonts count="61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i/>
      <sz val="10"/>
      <name val="Arial Armenian"/>
      <family val="2"/>
    </font>
    <font>
      <sz val="12"/>
      <name val="Arial"/>
      <family val="2"/>
    </font>
    <font>
      <b/>
      <sz val="9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8"/>
      <name val="Arial"/>
      <family val="2"/>
    </font>
    <font>
      <i/>
      <sz val="8"/>
      <name val="Arial Armenian"/>
      <family val="2"/>
    </font>
    <font>
      <sz val="8"/>
      <color indexed="10"/>
      <name val="Arial Armenian"/>
      <family val="2"/>
    </font>
    <font>
      <sz val="11"/>
      <color indexed="17"/>
      <name val="Calibri"/>
      <family val="2"/>
    </font>
    <font>
      <sz val="11"/>
      <color indexed="17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 indent="3"/>
    </xf>
    <xf numFmtId="0" fontId="1" fillId="0" borderId="22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88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0" fontId="11" fillId="0" borderId="0" xfId="0" applyNumberFormat="1" applyFont="1" applyFill="1" applyBorder="1" applyAlignment="1">
      <alignment horizontal="center" vertical="top"/>
    </xf>
    <xf numFmtId="19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8" fontId="1" fillId="0" borderId="0" xfId="0" applyNumberFormat="1" applyFont="1" applyFill="1" applyAlignment="1">
      <alignment wrapText="1"/>
    </xf>
    <xf numFmtId="189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9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/>
    </xf>
    <xf numFmtId="49" fontId="9" fillId="33" borderId="0" xfId="0" applyNumberFormat="1" applyFont="1" applyFill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33" borderId="0" xfId="55" applyFont="1" applyFill="1" applyAlignment="1">
      <alignment/>
      <protection/>
    </xf>
    <xf numFmtId="49" fontId="1" fillId="33" borderId="0" xfId="0" applyNumberFormat="1" applyFont="1" applyFill="1" applyAlignment="1">
      <alignment horizontal="centerContinuous" wrapText="1"/>
    </xf>
    <xf numFmtId="0" fontId="1" fillId="33" borderId="0" xfId="0" applyFont="1" applyFill="1" applyAlignment="1">
      <alignment wrapText="1"/>
    </xf>
    <xf numFmtId="0" fontId="1" fillId="0" borderId="0" xfId="56" applyFont="1" applyAlignment="1">
      <alignment horizontal="justify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left" wrapText="1"/>
    </xf>
    <xf numFmtId="49" fontId="1" fillId="33" borderId="0" xfId="0" applyNumberFormat="1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32" xfId="0" applyFont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Continuous" wrapText="1"/>
    </xf>
    <xf numFmtId="0" fontId="1" fillId="0" borderId="41" xfId="0" applyFont="1" applyFill="1" applyBorder="1" applyAlignment="1">
      <alignment horizontal="centerContinuous" wrapText="1"/>
    </xf>
    <xf numFmtId="0" fontId="3" fillId="0" borderId="4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3" fillId="0" borderId="46" xfId="0" applyFont="1" applyFill="1" applyBorder="1" applyAlignment="1">
      <alignment horizontal="center" wrapText="1"/>
    </xf>
    <xf numFmtId="188" fontId="3" fillId="0" borderId="44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horizontal="right" wrapText="1"/>
    </xf>
    <xf numFmtId="191" fontId="8" fillId="0" borderId="22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wrapText="1"/>
    </xf>
    <xf numFmtId="191" fontId="8" fillId="0" borderId="22" xfId="0" applyNumberFormat="1" applyFont="1" applyFill="1" applyBorder="1" applyAlignment="1">
      <alignment wrapText="1"/>
    </xf>
    <xf numFmtId="188" fontId="1" fillId="33" borderId="0" xfId="0" applyNumberFormat="1" applyFont="1" applyFill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Continuous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/>
    </xf>
    <xf numFmtId="0" fontId="19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9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4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wrapText="1"/>
    </xf>
    <xf numFmtId="0" fontId="8" fillId="0" borderId="52" xfId="0" applyFont="1" applyFill="1" applyBorder="1" applyAlignment="1">
      <alignment horizontal="left" wrapText="1"/>
    </xf>
    <xf numFmtId="0" fontId="19" fillId="0" borderId="54" xfId="0" applyFont="1" applyFill="1" applyBorder="1" applyAlignment="1">
      <alignment wrapText="1"/>
    </xf>
    <xf numFmtId="0" fontId="8" fillId="0" borderId="54" xfId="0" applyFont="1" applyFill="1" applyBorder="1" applyAlignment="1">
      <alignment wrapText="1"/>
    </xf>
    <xf numFmtId="0" fontId="20" fillId="0" borderId="54" xfId="0" applyFont="1" applyFill="1" applyBorder="1" applyAlignment="1">
      <alignment/>
    </xf>
    <xf numFmtId="49" fontId="8" fillId="0" borderId="55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wrapText="1"/>
    </xf>
    <xf numFmtId="0" fontId="22" fillId="0" borderId="0" xfId="0" applyFont="1" applyAlignment="1">
      <alignment/>
    </xf>
    <xf numFmtId="49" fontId="19" fillId="0" borderId="55" xfId="0" applyNumberFormat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wrapText="1"/>
    </xf>
    <xf numFmtId="49" fontId="19" fillId="0" borderId="50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20" fillId="0" borderId="57" xfId="0" applyFont="1" applyFill="1" applyBorder="1" applyAlignment="1">
      <alignment wrapText="1"/>
    </xf>
    <xf numFmtId="49" fontId="19" fillId="0" borderId="58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/>
    </xf>
    <xf numFmtId="0" fontId="20" fillId="0" borderId="60" xfId="0" applyFont="1" applyFill="1" applyBorder="1" applyAlignment="1">
      <alignment wrapText="1"/>
    </xf>
    <xf numFmtId="49" fontId="4" fillId="0" borderId="6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13" fillId="0" borderId="44" xfId="0" applyFont="1" applyFill="1" applyBorder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8" fillId="0" borderId="4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19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19" fillId="0" borderId="52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vertical="center" wrapText="1"/>
    </xf>
    <xf numFmtId="0" fontId="13" fillId="0" borderId="54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/>
    </xf>
    <xf numFmtId="49" fontId="4" fillId="0" borderId="5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8" fontId="8" fillId="0" borderId="22" xfId="0" applyNumberFormat="1" applyFont="1" applyFill="1" applyBorder="1" applyAlignment="1">
      <alignment horizontal="center" vertical="center"/>
    </xf>
    <xf numFmtId="188" fontId="19" fillId="0" borderId="22" xfId="0" applyNumberFormat="1" applyFont="1" applyFill="1" applyBorder="1" applyAlignment="1">
      <alignment horizontal="center" vertical="center"/>
    </xf>
    <xf numFmtId="188" fontId="19" fillId="0" borderId="22" xfId="0" applyNumberFormat="1" applyFont="1" applyFill="1" applyBorder="1" applyAlignment="1">
      <alignment horizontal="center" vertical="center" wrapText="1"/>
    </xf>
    <xf numFmtId="188" fontId="8" fillId="0" borderId="22" xfId="4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188" fontId="4" fillId="0" borderId="30" xfId="0" applyNumberFormat="1" applyFont="1" applyFill="1" applyBorder="1" applyAlignment="1">
      <alignment horizontal="center" vertical="center"/>
    </xf>
    <xf numFmtId="188" fontId="4" fillId="0" borderId="22" xfId="0" applyNumberFormat="1" applyFont="1" applyFill="1" applyBorder="1" applyAlignment="1">
      <alignment horizontal="center" vertical="center"/>
    </xf>
    <xf numFmtId="188" fontId="4" fillId="0" borderId="64" xfId="0" applyNumberFormat="1" applyFont="1" applyFill="1" applyBorder="1" applyAlignment="1">
      <alignment horizontal="center" vertical="center"/>
    </xf>
    <xf numFmtId="188" fontId="4" fillId="0" borderId="26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/>
    </xf>
    <xf numFmtId="188" fontId="4" fillId="0" borderId="0" xfId="0" applyNumberFormat="1" applyFont="1" applyFill="1" applyAlignment="1">
      <alignment wrapText="1"/>
    </xf>
    <xf numFmtId="188" fontId="4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/>
    </xf>
    <xf numFmtId="188" fontId="1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88" fontId="23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vertical="top" wrapText="1"/>
    </xf>
    <xf numFmtId="188" fontId="23" fillId="0" borderId="22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wrapText="1"/>
    </xf>
    <xf numFmtId="188" fontId="11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4" xfId="0" applyNumberFormat="1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8" fontId="7" fillId="0" borderId="64" xfId="0" applyNumberFormat="1" applyFont="1" applyFill="1" applyBorder="1" applyAlignment="1">
      <alignment horizontal="center" vertical="center"/>
    </xf>
    <xf numFmtId="188" fontId="4" fillId="0" borderId="30" xfId="0" applyNumberFormat="1" applyFont="1" applyFill="1" applyBorder="1" applyAlignment="1">
      <alignment horizontal="center" vertical="center" wrapText="1"/>
    </xf>
    <xf numFmtId="188" fontId="4" fillId="0" borderId="22" xfId="0" applyNumberFormat="1" applyFont="1" applyFill="1" applyBorder="1" applyAlignment="1">
      <alignment horizontal="center" vertical="center" wrapText="1"/>
    </xf>
    <xf numFmtId="188" fontId="4" fillId="0" borderId="64" xfId="0" applyNumberFormat="1" applyFont="1" applyFill="1" applyBorder="1" applyAlignment="1">
      <alignment horizontal="center" vertical="center" wrapText="1"/>
    </xf>
    <xf numFmtId="188" fontId="7" fillId="0" borderId="22" xfId="0" applyNumberFormat="1" applyFont="1" applyFill="1" applyBorder="1" applyAlignment="1">
      <alignment horizontal="center" vertical="center" wrapText="1"/>
    </xf>
    <xf numFmtId="188" fontId="7" fillId="0" borderId="30" xfId="0" applyNumberFormat="1" applyFont="1" applyFill="1" applyBorder="1" applyAlignment="1">
      <alignment horizontal="center" vertical="center" wrapText="1"/>
    </xf>
    <xf numFmtId="188" fontId="7" fillId="0" borderId="64" xfId="0" applyNumberFormat="1" applyFont="1" applyFill="1" applyBorder="1" applyAlignment="1">
      <alignment horizontal="center" vertical="center" wrapText="1"/>
    </xf>
    <xf numFmtId="188" fontId="14" fillId="0" borderId="64" xfId="0" applyNumberFormat="1" applyFont="1" applyFill="1" applyBorder="1" applyAlignment="1">
      <alignment horizontal="center" vertical="center"/>
    </xf>
    <xf numFmtId="188" fontId="14" fillId="0" borderId="30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quotePrefix="1">
      <alignment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188" fontId="4" fillId="0" borderId="22" xfId="0" applyNumberFormat="1" applyFont="1" applyBorder="1" applyAlignment="1">
      <alignment horizontal="center" vertical="center"/>
    </xf>
    <xf numFmtId="188" fontId="1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188" fontId="25" fillId="0" borderId="22" xfId="0" applyNumberFormat="1" applyFont="1" applyFill="1" applyBorder="1" applyAlignment="1">
      <alignment horizontal="center" vertical="center"/>
    </xf>
    <xf numFmtId="188" fontId="25" fillId="0" borderId="64" xfId="0" applyNumberFormat="1" applyFont="1" applyFill="1" applyBorder="1" applyAlignment="1">
      <alignment horizontal="center" vertical="center"/>
    </xf>
    <xf numFmtId="188" fontId="25" fillId="0" borderId="22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 horizontal="center" vertical="center" wrapText="1"/>
    </xf>
    <xf numFmtId="192" fontId="5" fillId="0" borderId="0" xfId="0" applyNumberFormat="1" applyFont="1" applyFill="1" applyBorder="1" applyAlignment="1">
      <alignment/>
    </xf>
    <xf numFmtId="192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4" fillId="0" borderId="22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92" fontId="14" fillId="0" borderId="2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55" applyFont="1" applyFill="1" applyAlignment="1">
      <alignment vertical="center"/>
      <protection/>
    </xf>
    <xf numFmtId="0" fontId="1" fillId="33" borderId="0" xfId="55" applyFont="1" applyFill="1" applyBorder="1" applyAlignment="1">
      <alignment/>
      <protection/>
    </xf>
    <xf numFmtId="0" fontId="1" fillId="33" borderId="0" xfId="55" applyFont="1" applyFill="1" applyAlignment="1">
      <alignment/>
      <protection/>
    </xf>
    <xf numFmtId="49" fontId="1" fillId="33" borderId="0" xfId="0" applyNumberFormat="1" applyFont="1" applyFill="1" applyAlignment="1">
      <alignment horizontal="left" wrapText="1"/>
    </xf>
    <xf numFmtId="49" fontId="9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188" fontId="4" fillId="0" borderId="0" xfId="0" applyNumberFormat="1" applyFont="1" applyFill="1" applyAlignment="1">
      <alignment horizontal="left" vertical="center" wrapText="1"/>
    </xf>
    <xf numFmtId="188" fontId="7" fillId="0" borderId="0" xfId="0" applyNumberFormat="1" applyFont="1" applyFill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6" fillId="0" borderId="22" xfId="0" applyNumberFormat="1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majnq" xfId="55"/>
    <cellStyle name="Normal_hashvetvutyunn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29.8515625" style="11" customWidth="1"/>
    <col min="2" max="2" width="13.421875" style="11" customWidth="1"/>
    <col min="3" max="16384" width="9.140625" style="11" customWidth="1"/>
  </cols>
  <sheetData>
    <row r="1" spans="1:13" s="78" customFormat="1" ht="5.25" customHeight="1">
      <c r="A1" s="74"/>
      <c r="B1" s="75"/>
      <c r="C1" s="76"/>
      <c r="D1" s="77"/>
      <c r="I1" s="79"/>
      <c r="J1" s="79"/>
      <c r="K1" s="79"/>
      <c r="L1" s="79"/>
      <c r="M1" s="79"/>
    </row>
    <row r="2" spans="1:12" s="78" customFormat="1" ht="30.75" customHeight="1">
      <c r="A2" s="74"/>
      <c r="C2" s="324" t="s">
        <v>324</v>
      </c>
      <c r="D2" s="325"/>
      <c r="E2" s="325"/>
      <c r="F2" s="325"/>
      <c r="L2" s="80"/>
    </row>
    <row r="3" spans="4:12" s="78" customFormat="1" ht="14.25">
      <c r="D3" s="81" t="s">
        <v>325</v>
      </c>
      <c r="E3" s="81"/>
      <c r="F3" s="81"/>
      <c r="L3" s="81"/>
    </row>
    <row r="4" spans="4:12" s="78" customFormat="1" ht="14.25">
      <c r="D4" s="82" t="s">
        <v>326</v>
      </c>
      <c r="E4" s="82"/>
      <c r="F4" s="82"/>
      <c r="L4" s="82"/>
    </row>
    <row r="5" spans="3:12" s="78" customFormat="1" ht="15.75" customHeight="1">
      <c r="C5" s="83"/>
      <c r="E5" s="82" t="s">
        <v>327</v>
      </c>
      <c r="F5" s="82"/>
      <c r="G5" s="83"/>
      <c r="L5" s="82"/>
    </row>
    <row r="6" spans="1:12" ht="24.75" customHeight="1">
      <c r="A6" s="84"/>
      <c r="C6" s="84"/>
      <c r="D6" s="84"/>
      <c r="E6" s="83" t="s">
        <v>328</v>
      </c>
      <c r="F6" s="84"/>
      <c r="G6" s="84"/>
      <c r="L6" s="84"/>
    </row>
    <row r="7" spans="1:12" ht="14.25">
      <c r="A7" s="84"/>
      <c r="C7" s="84"/>
      <c r="D7" s="84"/>
      <c r="E7" s="83"/>
      <c r="F7" s="84"/>
      <c r="G7" s="84"/>
      <c r="L7" s="84"/>
    </row>
    <row r="8" spans="1:12" ht="14.25">
      <c r="A8" s="84"/>
      <c r="C8" s="84"/>
      <c r="D8" s="84"/>
      <c r="E8" s="83"/>
      <c r="F8" s="84"/>
      <c r="G8" s="84"/>
      <c r="L8" s="84"/>
    </row>
    <row r="9" spans="1:7" s="6" customFormat="1" ht="21" customHeight="1">
      <c r="A9" s="326" t="s">
        <v>12</v>
      </c>
      <c r="B9" s="326"/>
      <c r="C9" s="326"/>
      <c r="D9" s="326"/>
      <c r="E9" s="326"/>
      <c r="F9" s="326"/>
      <c r="G9" s="326"/>
    </row>
    <row r="10" spans="1:7" s="8" customFormat="1" ht="18" customHeight="1">
      <c r="A10" s="326" t="s">
        <v>329</v>
      </c>
      <c r="B10" s="326"/>
      <c r="C10" s="326"/>
      <c r="D10" s="326"/>
      <c r="E10" s="326"/>
      <c r="F10" s="326"/>
      <c r="G10" s="326"/>
    </row>
    <row r="11" spans="1:7" s="8" customFormat="1" ht="18" customHeight="1">
      <c r="A11" s="327" t="s">
        <v>760</v>
      </c>
      <c r="B11" s="327"/>
      <c r="C11" s="327"/>
      <c r="D11" s="327"/>
      <c r="E11" s="327"/>
      <c r="F11" s="327"/>
      <c r="G11" s="327"/>
    </row>
    <row r="12" spans="1:7" s="8" customFormat="1" ht="18" customHeight="1">
      <c r="A12" s="9"/>
      <c r="B12" s="9"/>
      <c r="C12" s="9"/>
      <c r="D12" s="9"/>
      <c r="E12" s="9"/>
      <c r="F12" s="9"/>
      <c r="G12" s="9"/>
    </row>
    <row r="13" spans="1:7" s="8" customFormat="1" ht="18" customHeight="1">
      <c r="A13" s="9"/>
      <c r="B13" s="9"/>
      <c r="C13" s="9"/>
      <c r="D13" s="9"/>
      <c r="E13" s="9"/>
      <c r="F13" s="9"/>
      <c r="G13" s="9"/>
    </row>
    <row r="14" spans="1:7" s="8" customFormat="1" ht="18" customHeight="1">
      <c r="A14" s="322" t="s">
        <v>757</v>
      </c>
      <c r="B14" s="322"/>
      <c r="C14" s="322"/>
      <c r="D14" s="322"/>
      <c r="E14" s="322"/>
      <c r="F14" s="322"/>
      <c r="G14" s="322"/>
    </row>
    <row r="15" spans="1:7" s="8" customFormat="1" ht="18" customHeight="1">
      <c r="A15" s="322" t="s">
        <v>330</v>
      </c>
      <c r="B15" s="322"/>
      <c r="C15" s="322"/>
      <c r="D15" s="322"/>
      <c r="E15" s="322"/>
      <c r="F15" s="322"/>
      <c r="G15" s="322"/>
    </row>
    <row r="16" spans="1:7" s="8" customFormat="1" ht="18" customHeight="1">
      <c r="A16" s="322" t="s">
        <v>331</v>
      </c>
      <c r="B16" s="322"/>
      <c r="C16" s="322"/>
      <c r="D16" s="322"/>
      <c r="E16" s="322"/>
      <c r="F16" s="322"/>
      <c r="G16" s="322"/>
    </row>
    <row r="17" spans="1:7" s="8" customFormat="1" ht="18" customHeight="1">
      <c r="A17" s="322" t="s">
        <v>332</v>
      </c>
      <c r="B17" s="322"/>
      <c r="C17" s="322"/>
      <c r="D17" s="322"/>
      <c r="E17" s="322"/>
      <c r="F17" s="322"/>
      <c r="G17" s="322"/>
    </row>
    <row r="18" spans="1:7" s="8" customFormat="1" ht="18" customHeight="1">
      <c r="A18" s="320" t="s">
        <v>333</v>
      </c>
      <c r="B18" s="320"/>
      <c r="C18" s="320"/>
      <c r="D18" s="320"/>
      <c r="E18" s="320"/>
      <c r="F18" s="320"/>
      <c r="G18" s="320"/>
    </row>
    <row r="19" spans="1:7" s="8" customFormat="1" ht="18" customHeight="1">
      <c r="A19" s="321" t="s">
        <v>334</v>
      </c>
      <c r="B19" s="321"/>
      <c r="C19" s="321"/>
      <c r="D19" s="321"/>
      <c r="E19" s="321"/>
      <c r="F19" s="321"/>
      <c r="G19" s="321"/>
    </row>
    <row r="20" spans="1:7" s="8" customFormat="1" ht="18" customHeight="1">
      <c r="A20" s="322" t="s">
        <v>335</v>
      </c>
      <c r="B20" s="322"/>
      <c r="C20" s="322"/>
      <c r="D20" s="322"/>
      <c r="E20" s="322"/>
      <c r="F20" s="322"/>
      <c r="G20" s="322"/>
    </row>
    <row r="21" spans="1:7" s="8" customFormat="1" ht="18" customHeight="1">
      <c r="A21" s="322" t="s">
        <v>336</v>
      </c>
      <c r="B21" s="322"/>
      <c r="C21" s="322"/>
      <c r="D21" s="322"/>
      <c r="E21" s="322"/>
      <c r="F21" s="322"/>
      <c r="G21" s="322"/>
    </row>
    <row r="22" spans="1:7" s="8" customFormat="1" ht="18" customHeight="1">
      <c r="A22" s="85"/>
      <c r="B22" s="85"/>
      <c r="C22" s="85"/>
      <c r="D22" s="85"/>
      <c r="E22" s="85"/>
      <c r="F22" s="85"/>
      <c r="G22" s="85"/>
    </row>
    <row r="23" spans="1:7" s="8" customFormat="1" ht="18" customHeight="1">
      <c r="A23" s="85"/>
      <c r="B23" s="85"/>
      <c r="C23" s="85"/>
      <c r="D23" s="85"/>
      <c r="E23" s="85"/>
      <c r="F23" s="85"/>
      <c r="G23" s="85"/>
    </row>
    <row r="25" spans="1:6" ht="12.75">
      <c r="A25" s="86"/>
      <c r="B25" s="87"/>
      <c r="C25" s="87"/>
      <c r="D25" s="87"/>
      <c r="E25" s="87"/>
      <c r="F25" s="87"/>
    </row>
    <row r="26" spans="1:6" ht="12.75" customHeight="1">
      <c r="A26" s="88"/>
      <c r="B26" s="89"/>
      <c r="C26" s="90"/>
      <c r="D26" s="90"/>
      <c r="E26" s="88"/>
      <c r="F26" s="89"/>
    </row>
    <row r="27" spans="1:6" ht="12.75">
      <c r="A27" s="323" t="s">
        <v>759</v>
      </c>
      <c r="B27" s="323"/>
      <c r="C27" s="87"/>
      <c r="D27" s="87"/>
      <c r="E27" s="87"/>
      <c r="F27" s="87"/>
    </row>
    <row r="28" spans="1:6" ht="12.75" hidden="1">
      <c r="A28" s="86"/>
      <c r="B28" s="87"/>
      <c r="C28" s="87"/>
      <c r="D28" s="91"/>
      <c r="E28" s="87"/>
      <c r="F28" s="87"/>
    </row>
    <row r="29" spans="1:6" ht="12.75">
      <c r="A29" s="86"/>
      <c r="B29" s="87"/>
      <c r="C29" s="87"/>
      <c r="D29" s="91"/>
      <c r="E29" s="87"/>
      <c r="F29" s="87"/>
    </row>
    <row r="30" spans="1:6" ht="12.75">
      <c r="A30" s="86"/>
      <c r="B30" s="87"/>
      <c r="C30" s="87"/>
      <c r="D30" s="91"/>
      <c r="E30" s="87"/>
      <c r="F30" s="87"/>
    </row>
    <row r="31" spans="1:6" ht="12.75">
      <c r="A31" s="86"/>
      <c r="B31" s="87"/>
      <c r="C31" s="87"/>
      <c r="D31" s="91"/>
      <c r="E31" s="87"/>
      <c r="F31" s="87"/>
    </row>
    <row r="32" spans="1:6" ht="12.75">
      <c r="A32" s="86"/>
      <c r="B32" s="87"/>
      <c r="C32" s="87"/>
      <c r="D32" s="91"/>
      <c r="E32" s="87"/>
      <c r="F32" s="87"/>
    </row>
    <row r="33" spans="1:6" ht="17.25" customHeight="1">
      <c r="A33" s="86"/>
      <c r="B33" s="87"/>
      <c r="C33" s="87"/>
      <c r="D33" s="91"/>
      <c r="E33" s="87"/>
      <c r="F33" s="87"/>
    </row>
    <row r="34" spans="1:6" ht="12.75">
      <c r="A34" s="86"/>
      <c r="B34" s="87"/>
      <c r="C34" s="87"/>
      <c r="D34" s="91"/>
      <c r="E34" s="87"/>
      <c r="F34" s="87"/>
    </row>
    <row r="35" spans="1:6" ht="25.5">
      <c r="A35" s="86"/>
      <c r="B35" s="92" t="s">
        <v>337</v>
      </c>
      <c r="C35" s="87"/>
      <c r="D35" s="87"/>
      <c r="E35" s="87"/>
      <c r="F35" s="87"/>
    </row>
    <row r="36" spans="1:6" ht="12.75">
      <c r="A36" s="86"/>
      <c r="B36" s="92"/>
      <c r="C36" s="87"/>
      <c r="D36" s="87"/>
      <c r="E36" s="87"/>
      <c r="F36" s="87"/>
    </row>
    <row r="37" spans="1:7" ht="12.75">
      <c r="A37" s="93"/>
      <c r="B37" s="94"/>
      <c r="C37" s="94"/>
      <c r="D37" s="94"/>
      <c r="E37" s="94"/>
      <c r="F37" s="94"/>
      <c r="G37" s="95"/>
    </row>
    <row r="38" spans="1:7" ht="12.75">
      <c r="A38" s="96" t="s">
        <v>761</v>
      </c>
      <c r="B38" s="97"/>
      <c r="C38" s="98"/>
      <c r="D38" s="99"/>
      <c r="E38" s="318" t="s">
        <v>762</v>
      </c>
      <c r="F38" s="318"/>
      <c r="G38" s="100"/>
    </row>
    <row r="39" spans="1:7" ht="12.75">
      <c r="A39" s="93"/>
      <c r="B39" s="94"/>
      <c r="C39" s="94"/>
      <c r="D39" s="94"/>
      <c r="F39" s="96" t="s">
        <v>338</v>
      </c>
      <c r="G39" s="95"/>
    </row>
    <row r="40" spans="1:7" ht="12.75">
      <c r="A40" s="95"/>
      <c r="B40" s="95"/>
      <c r="C40" s="95"/>
      <c r="D40" s="95"/>
      <c r="E40" s="95"/>
      <c r="F40" s="95"/>
      <c r="G40" s="95"/>
    </row>
    <row r="41" spans="1:7" ht="12.75">
      <c r="A41" s="95"/>
      <c r="B41" s="95"/>
      <c r="C41" s="95"/>
      <c r="D41" s="95"/>
      <c r="E41" s="95"/>
      <c r="F41" s="95"/>
      <c r="G41" s="95"/>
    </row>
    <row r="42" spans="1:7" ht="12.75">
      <c r="A42" s="95"/>
      <c r="B42" s="95"/>
      <c r="C42" s="95"/>
      <c r="D42" s="95"/>
      <c r="E42" s="95"/>
      <c r="F42" s="95"/>
      <c r="G42" s="95"/>
    </row>
    <row r="43" spans="1:6" ht="12.75">
      <c r="A43" s="96"/>
      <c r="B43" s="142"/>
      <c r="C43" s="99"/>
      <c r="D43" s="99"/>
      <c r="E43" s="319"/>
      <c r="F43" s="319"/>
    </row>
    <row r="44" spans="1:6" ht="12.75">
      <c r="A44" s="93"/>
      <c r="B44" s="94"/>
      <c r="C44" s="94"/>
      <c r="D44" s="94"/>
      <c r="F44" s="96"/>
    </row>
  </sheetData>
  <sheetProtection/>
  <protectedRanges>
    <protectedRange sqref="E47 H47 K47" name="Range7"/>
    <protectedRange sqref="E80:E82 H80:H82 K80:K82 E84:E85 H84:H85 K84:K85 K87:K88 H87:H88 E87:E88 F90:F91 I90:I91 L90:L91 L93:L95 K95 I93:I95 H95 F93:F95 E95" name="Range4"/>
    <protectedRange sqref="K31:K34 H31:H34 E31:E34 E37:E38 H37:H38 K37:K38 K41:K44 H41:H44 E55 F49 I49 L49 K51 H51 E51 F53 I53 L53 K55 H55 E41:E43" name="Range2"/>
    <protectedRange sqref="K15:K16 H15:H16 E15:E16 E18 H18 K18 H22:H28 E22:E28 K22:K34 H30:H34" name="Range1"/>
    <protectedRange sqref="K57:K61 H57:H61 E57:E61 F63:F65 I63:I65 L63:L65 L68 I68 F68 E70 H70 K70 E72:E75 H72:H75 K72:K75 E77:E78 H77:H78 K77:K78" name="Range3"/>
    <protectedRange sqref="A1:L6" name="Range5"/>
    <protectedRange sqref="E29:E30 H29" name="Range6"/>
  </protectedRanges>
  <mergeCells count="15">
    <mergeCell ref="A16:G16"/>
    <mergeCell ref="A17:G17"/>
    <mergeCell ref="C2:F2"/>
    <mergeCell ref="A9:G9"/>
    <mergeCell ref="A10:G10"/>
    <mergeCell ref="A11:G11"/>
    <mergeCell ref="A14:G14"/>
    <mergeCell ref="A15:G15"/>
    <mergeCell ref="E38:F38"/>
    <mergeCell ref="E43:F43"/>
    <mergeCell ref="A18:G18"/>
    <mergeCell ref="A19:G19"/>
    <mergeCell ref="A20:G20"/>
    <mergeCell ref="A21:G21"/>
    <mergeCell ref="A27:B27"/>
  </mergeCells>
  <printOptions/>
  <pageMargins left="0.75" right="0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="90" zoomScaleNormal="90" zoomScalePageLayoutView="0" workbookViewId="0" topLeftCell="A1">
      <selection activeCell="M1" sqref="M1:P16384"/>
    </sheetView>
  </sheetViews>
  <sheetFormatPr defaultColWidth="9.140625" defaultRowHeight="12.75"/>
  <cols>
    <col min="1" max="1" width="5.421875" style="217" customWidth="1"/>
    <col min="2" max="2" width="46.7109375" style="5" customWidth="1"/>
    <col min="3" max="3" width="5.28125" style="217" customWidth="1"/>
    <col min="4" max="4" width="10.140625" style="2" customWidth="1"/>
    <col min="5" max="5" width="10.00390625" style="3" customWidth="1"/>
    <col min="6" max="6" width="8.57421875" style="3" customWidth="1"/>
    <col min="7" max="7" width="10.421875" style="2" customWidth="1"/>
    <col min="8" max="8" width="9.8515625" style="3" customWidth="1"/>
    <col min="9" max="9" width="8.28125" style="3" customWidth="1"/>
    <col min="10" max="10" width="10.00390625" style="2" customWidth="1"/>
    <col min="11" max="11" width="12.28125" style="3" customWidth="1"/>
    <col min="12" max="12" width="9.421875" style="3" customWidth="1"/>
    <col min="13" max="16384" width="9.140625" style="4" customWidth="1"/>
  </cols>
  <sheetData>
    <row r="1" spans="1:12" s="6" customFormat="1" ht="15.75" customHeight="1">
      <c r="A1" s="326" t="s">
        <v>12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s="8" customFormat="1" ht="18" customHeight="1">
      <c r="A2" s="326" t="s">
        <v>13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7"/>
    </row>
    <row r="3" spans="1:12" s="8" customFormat="1" ht="16.5" customHeight="1" thickBot="1">
      <c r="A3" s="327" t="s">
        <v>758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4" spans="2:12" ht="13.5" hidden="1" thickBot="1">
      <c r="B4" s="1"/>
      <c r="D4" s="12"/>
      <c r="E4" s="12"/>
      <c r="F4" s="13"/>
      <c r="G4" s="12"/>
      <c r="H4" s="12"/>
      <c r="I4" s="13"/>
      <c r="J4" s="12"/>
      <c r="K4" s="12"/>
      <c r="L4" s="13"/>
    </row>
    <row r="5" spans="1:12" ht="13.5" customHeight="1" thickBot="1">
      <c r="A5" s="218"/>
      <c r="B5" s="14"/>
      <c r="C5" s="218"/>
      <c r="D5" s="338" t="s">
        <v>14</v>
      </c>
      <c r="E5" s="338"/>
      <c r="F5" s="339"/>
      <c r="G5" s="340" t="s">
        <v>15</v>
      </c>
      <c r="H5" s="338"/>
      <c r="I5" s="339"/>
      <c r="J5" s="340" t="s">
        <v>16</v>
      </c>
      <c r="K5" s="338"/>
      <c r="L5" s="339"/>
    </row>
    <row r="6" spans="1:12" ht="12.75" customHeight="1">
      <c r="A6" s="334" t="s">
        <v>17</v>
      </c>
      <c r="B6" s="336" t="s">
        <v>18</v>
      </c>
      <c r="C6" s="334" t="s">
        <v>19</v>
      </c>
      <c r="D6" s="330" t="s">
        <v>20</v>
      </c>
      <c r="E6" s="15" t="s">
        <v>21</v>
      </c>
      <c r="F6" s="15"/>
      <c r="G6" s="328" t="s">
        <v>22</v>
      </c>
      <c r="H6" s="16" t="s">
        <v>21</v>
      </c>
      <c r="I6" s="17"/>
      <c r="J6" s="330" t="s">
        <v>23</v>
      </c>
      <c r="K6" s="15" t="s">
        <v>21</v>
      </c>
      <c r="L6" s="18"/>
    </row>
    <row r="7" spans="1:12" ht="26.25" thickBot="1">
      <c r="A7" s="335"/>
      <c r="B7" s="337"/>
      <c r="C7" s="335"/>
      <c r="D7" s="331"/>
      <c r="E7" s="21" t="s">
        <v>24</v>
      </c>
      <c r="F7" s="22" t="s">
        <v>25</v>
      </c>
      <c r="G7" s="329"/>
      <c r="H7" s="23" t="s">
        <v>24</v>
      </c>
      <c r="I7" s="24" t="s">
        <v>25</v>
      </c>
      <c r="J7" s="331"/>
      <c r="K7" s="21" t="s">
        <v>24</v>
      </c>
      <c r="L7" s="24" t="s">
        <v>25</v>
      </c>
    </row>
    <row r="8" spans="1:12" s="1" customFormat="1" ht="12.75">
      <c r="A8" s="54">
        <v>1</v>
      </c>
      <c r="B8" s="25">
        <v>2</v>
      </c>
      <c r="C8" s="225">
        <v>3</v>
      </c>
      <c r="D8" s="26">
        <v>4</v>
      </c>
      <c r="E8" s="26">
        <v>5</v>
      </c>
      <c r="F8" s="25">
        <v>6</v>
      </c>
      <c r="G8" s="26">
        <v>7</v>
      </c>
      <c r="H8" s="26">
        <v>8</v>
      </c>
      <c r="I8" s="25">
        <v>9</v>
      </c>
      <c r="J8" s="26">
        <v>10</v>
      </c>
      <c r="K8" s="26">
        <v>11</v>
      </c>
      <c r="L8" s="25">
        <v>12</v>
      </c>
    </row>
    <row r="9" spans="1:12" s="12" customFormat="1" ht="27.75" customHeight="1">
      <c r="A9" s="224" t="s">
        <v>26</v>
      </c>
      <c r="B9" s="291" t="s">
        <v>27</v>
      </c>
      <c r="C9" s="292"/>
      <c r="D9" s="215">
        <f aca="true" t="shared" si="0" ref="D9:I9">SUM(D10,D47,D68)</f>
        <v>760633</v>
      </c>
      <c r="E9" s="215">
        <f t="shared" si="0"/>
        <v>760633</v>
      </c>
      <c r="F9" s="215">
        <f t="shared" si="0"/>
        <v>0</v>
      </c>
      <c r="G9" s="215">
        <f t="shared" si="0"/>
        <v>759130.3</v>
      </c>
      <c r="H9" s="215">
        <f t="shared" si="0"/>
        <v>759130.3</v>
      </c>
      <c r="I9" s="215">
        <f t="shared" si="0"/>
        <v>0</v>
      </c>
      <c r="J9" s="215">
        <f>SUM(J10,J47,J68)</f>
        <v>527007.563</v>
      </c>
      <c r="K9" s="215">
        <f>SUM(K10,K47,K68)</f>
        <v>527007.563</v>
      </c>
      <c r="L9" s="215">
        <f>SUM(L10,L47,L68)</f>
        <v>0</v>
      </c>
    </row>
    <row r="10" spans="1:12" s="28" customFormat="1" ht="34.5" customHeight="1">
      <c r="A10" s="224" t="s">
        <v>28</v>
      </c>
      <c r="B10" s="34" t="s">
        <v>182</v>
      </c>
      <c r="C10" s="228">
        <v>7100</v>
      </c>
      <c r="D10" s="215">
        <f>SUM(D11,D14,D16,D37,D41)</f>
        <v>154909.2</v>
      </c>
      <c r="E10" s="215">
        <f>SUM(E11,E14,E16,E37,E41)</f>
        <v>154909.2</v>
      </c>
      <c r="F10" s="214" t="s">
        <v>29</v>
      </c>
      <c r="G10" s="215">
        <f>SUM(G11,G14,G16,G37,G41)</f>
        <v>154909.2</v>
      </c>
      <c r="H10" s="215">
        <f>SUM(H11,H14,H16,H37,H41)</f>
        <v>154909.2</v>
      </c>
      <c r="I10" s="214" t="s">
        <v>29</v>
      </c>
      <c r="J10" s="215">
        <f>SUM(J11,J14,J16,J37,J41)</f>
        <v>96813.73099999999</v>
      </c>
      <c r="K10" s="215">
        <f>SUM(K11,K14,K16,K37,K41)</f>
        <v>96813.73099999999</v>
      </c>
      <c r="L10" s="214" t="s">
        <v>29</v>
      </c>
    </row>
    <row r="11" spans="1:12" s="28" customFormat="1" ht="33.75" customHeight="1">
      <c r="A11" s="224" t="s">
        <v>30</v>
      </c>
      <c r="B11" s="34" t="s">
        <v>181</v>
      </c>
      <c r="C11" s="228">
        <v>7131</v>
      </c>
      <c r="D11" s="215">
        <f>SUM(D12:D13)</f>
        <v>66950</v>
      </c>
      <c r="E11" s="215">
        <f>SUM(E12:E13)</f>
        <v>66950</v>
      </c>
      <c r="F11" s="214" t="s">
        <v>29</v>
      </c>
      <c r="G11" s="215">
        <f>SUM(G12:G13)</f>
        <v>66950</v>
      </c>
      <c r="H11" s="215">
        <f>SUM(H12:H13)</f>
        <v>66950</v>
      </c>
      <c r="I11" s="214" t="s">
        <v>29</v>
      </c>
      <c r="J11" s="215">
        <f>SUM(J12:J13)</f>
        <v>43400.078</v>
      </c>
      <c r="K11" s="215">
        <f>SUM(K12:K13)</f>
        <v>43400.078</v>
      </c>
      <c r="L11" s="214" t="s">
        <v>29</v>
      </c>
    </row>
    <row r="12" spans="1:12" ht="38.25">
      <c r="A12" s="219" t="s">
        <v>31</v>
      </c>
      <c r="B12" s="29" t="s">
        <v>350</v>
      </c>
      <c r="C12" s="59"/>
      <c r="D12" s="213">
        <f>SUM(E12:F12)</f>
        <v>30500</v>
      </c>
      <c r="E12" s="213">
        <f>30500</f>
        <v>30500</v>
      </c>
      <c r="F12" s="213" t="s">
        <v>29</v>
      </c>
      <c r="G12" s="213">
        <f>SUM(H12:I12)</f>
        <v>30500</v>
      </c>
      <c r="H12" s="213">
        <f>30500</f>
        <v>30500</v>
      </c>
      <c r="I12" s="213" t="s">
        <v>29</v>
      </c>
      <c r="J12" s="213">
        <f>SUM(K12:L12)</f>
        <v>16834.896</v>
      </c>
      <c r="K12" s="213">
        <v>16834.896</v>
      </c>
      <c r="L12" s="213" t="s">
        <v>29</v>
      </c>
    </row>
    <row r="13" spans="1:12" ht="25.5">
      <c r="A13" s="220">
        <v>1112</v>
      </c>
      <c r="B13" s="29" t="s">
        <v>32</v>
      </c>
      <c r="C13" s="59"/>
      <c r="D13" s="213">
        <f>SUM(E13:F13)</f>
        <v>36450</v>
      </c>
      <c r="E13" s="213">
        <f>36450</f>
        <v>36450</v>
      </c>
      <c r="F13" s="213" t="s">
        <v>29</v>
      </c>
      <c r="G13" s="213">
        <f>SUM(H13:I13)</f>
        <v>36450</v>
      </c>
      <c r="H13" s="213">
        <f>36450</f>
        <v>36450</v>
      </c>
      <c r="I13" s="213" t="s">
        <v>29</v>
      </c>
      <c r="J13" s="213">
        <f>SUM(K13:L13)</f>
        <v>26565.182</v>
      </c>
      <c r="K13" s="213">
        <v>26565.182</v>
      </c>
      <c r="L13" s="213" t="s">
        <v>29</v>
      </c>
    </row>
    <row r="14" spans="1:12" s="28" customFormat="1" ht="19.5" customHeight="1">
      <c r="A14" s="223">
        <v>1120</v>
      </c>
      <c r="B14" s="34" t="s">
        <v>33</v>
      </c>
      <c r="C14" s="228">
        <v>7136</v>
      </c>
      <c r="D14" s="215">
        <f>SUM(D15)</f>
        <v>59950</v>
      </c>
      <c r="E14" s="215">
        <f>SUM(E15)</f>
        <v>59950</v>
      </c>
      <c r="F14" s="214" t="s">
        <v>29</v>
      </c>
      <c r="G14" s="215">
        <f>SUM(G15)</f>
        <v>59950</v>
      </c>
      <c r="H14" s="215">
        <f>SUM(H15)</f>
        <v>59950</v>
      </c>
      <c r="I14" s="214" t="s">
        <v>29</v>
      </c>
      <c r="J14" s="215">
        <f>SUM(J15)</f>
        <v>37464.773</v>
      </c>
      <c r="K14" s="215">
        <f>SUM(K15)</f>
        <v>37464.773</v>
      </c>
      <c r="L14" s="214" t="s">
        <v>29</v>
      </c>
    </row>
    <row r="15" spans="1:12" ht="27.75" customHeight="1">
      <c r="A15" s="219" t="s">
        <v>34</v>
      </c>
      <c r="B15" s="29" t="s">
        <v>351</v>
      </c>
      <c r="C15" s="59"/>
      <c r="D15" s="213">
        <f>SUM(E15:F15)</f>
        <v>59950</v>
      </c>
      <c r="E15" s="213">
        <f>59950</f>
        <v>59950</v>
      </c>
      <c r="F15" s="213" t="s">
        <v>29</v>
      </c>
      <c r="G15" s="213">
        <f>SUM(H15:I15)</f>
        <v>59950</v>
      </c>
      <c r="H15" s="213">
        <f>59950</f>
        <v>59950</v>
      </c>
      <c r="I15" s="213" t="s">
        <v>29</v>
      </c>
      <c r="J15" s="213">
        <f>SUM(K15:L15)</f>
        <v>37464.773</v>
      </c>
      <c r="K15" s="213">
        <v>37464.773</v>
      </c>
      <c r="L15" s="213" t="s">
        <v>29</v>
      </c>
    </row>
    <row r="16" spans="1:12" s="28" customFormat="1" ht="38.25">
      <c r="A16" s="224" t="s">
        <v>35</v>
      </c>
      <c r="B16" s="34" t="s">
        <v>36</v>
      </c>
      <c r="C16" s="228">
        <v>7145</v>
      </c>
      <c r="D16" s="215">
        <f>SUM(D17)</f>
        <v>23809.2</v>
      </c>
      <c r="E16" s="215">
        <f>SUM(E17)</f>
        <v>23809.2</v>
      </c>
      <c r="F16" s="214" t="s">
        <v>29</v>
      </c>
      <c r="G16" s="215">
        <f>SUM(G17)</f>
        <v>23809.2</v>
      </c>
      <c r="H16" s="215">
        <f>SUM(H17)</f>
        <v>23809.2</v>
      </c>
      <c r="I16" s="214" t="s">
        <v>29</v>
      </c>
      <c r="J16" s="215">
        <f>SUM(J17)</f>
        <v>12800.679999999998</v>
      </c>
      <c r="K16" s="215">
        <f>SUM(K17)</f>
        <v>12800.679999999998</v>
      </c>
      <c r="L16" s="214" t="s">
        <v>29</v>
      </c>
    </row>
    <row r="17" spans="1:12" ht="43.5" customHeight="1">
      <c r="A17" s="219" t="s">
        <v>37</v>
      </c>
      <c r="B17" s="29" t="s">
        <v>756</v>
      </c>
      <c r="C17" s="59">
        <v>7145</v>
      </c>
      <c r="D17" s="213">
        <f>SUM(D18,D21,D22,D23,D24,D25,D26,D27,D28,D29,D30,D31,D32,D33,D34,D35,D36)</f>
        <v>23809.2</v>
      </c>
      <c r="E17" s="213">
        <f>SUM(E18,E21,E22,E23,E24,E25,E26,E27,E28,E29,E30,E31,E32,E33,E34,E35,E36)</f>
        <v>23809.2</v>
      </c>
      <c r="F17" s="213" t="s">
        <v>29</v>
      </c>
      <c r="G17" s="213">
        <f>SUM(G18,G21,G22,G23,G24,G25,G26,G27,G28,G29,G30,G31,G32,G33,G34,G35,G36)</f>
        <v>23809.2</v>
      </c>
      <c r="H17" s="213">
        <f>SUM(H18,H21,H22,H23,H24,H25,H26,H27,H28,H29,H30,H31,H32,H33,H34,H35,H36)</f>
        <v>23809.2</v>
      </c>
      <c r="I17" s="213" t="s">
        <v>29</v>
      </c>
      <c r="J17" s="213">
        <f>SUM(J18,J21,J22,J23,J24,J25,J26,J27,J28,J29,J30,J31,J32,J33,J34,J35,J36)</f>
        <v>12800.679999999998</v>
      </c>
      <c r="K17" s="213">
        <f>SUM(K18,K21,K22,K23,K24,K25,K26,K27,K28,K29,K30,K31,K32,K33,K34,K35,K36)</f>
        <v>12800.679999999998</v>
      </c>
      <c r="L17" s="213" t="s">
        <v>29</v>
      </c>
    </row>
    <row r="18" spans="1:12" s="12" customFormat="1" ht="50.25" customHeight="1">
      <c r="A18" s="219" t="s">
        <v>38</v>
      </c>
      <c r="B18" s="31" t="s">
        <v>352</v>
      </c>
      <c r="C18" s="59"/>
      <c r="D18" s="213">
        <f>SUM(D19:D20)</f>
        <v>1690</v>
      </c>
      <c r="E18" s="213">
        <f>SUM(E19:E20)</f>
        <v>1690</v>
      </c>
      <c r="F18" s="213" t="s">
        <v>29</v>
      </c>
      <c r="G18" s="213">
        <f>SUM(G19:G20)</f>
        <v>1690</v>
      </c>
      <c r="H18" s="213">
        <f>SUM(H19:H20)</f>
        <v>1690</v>
      </c>
      <c r="I18" s="213" t="s">
        <v>29</v>
      </c>
      <c r="J18" s="213">
        <f>SUM(J19:J20)</f>
        <v>440</v>
      </c>
      <c r="K18" s="213">
        <f>SUM(K19:K20)</f>
        <v>440</v>
      </c>
      <c r="L18" s="213" t="s">
        <v>29</v>
      </c>
    </row>
    <row r="19" spans="1:12" s="12" customFormat="1" ht="12.75">
      <c r="A19" s="219" t="s">
        <v>39</v>
      </c>
      <c r="B19" s="31" t="s">
        <v>353</v>
      </c>
      <c r="C19" s="59"/>
      <c r="D19" s="213">
        <f aca="true" t="shared" si="1" ref="D19:D36">SUM(E19:F19)</f>
        <v>1565</v>
      </c>
      <c r="E19" s="213">
        <f>1565</f>
        <v>1565</v>
      </c>
      <c r="F19" s="213" t="s">
        <v>29</v>
      </c>
      <c r="G19" s="213">
        <f>SUM(H19:I19)</f>
        <v>1565</v>
      </c>
      <c r="H19" s="213">
        <f>1565</f>
        <v>1565</v>
      </c>
      <c r="I19" s="213" t="s">
        <v>29</v>
      </c>
      <c r="J19" s="213">
        <f>SUM(K19:L19)</f>
        <v>440</v>
      </c>
      <c r="K19" s="213">
        <f>50+150+120+120</f>
        <v>440</v>
      </c>
      <c r="L19" s="213" t="s">
        <v>29</v>
      </c>
    </row>
    <row r="20" spans="1:12" s="12" customFormat="1" ht="12.75">
      <c r="A20" s="219" t="s">
        <v>40</v>
      </c>
      <c r="B20" s="32" t="s">
        <v>41</v>
      </c>
      <c r="C20" s="59"/>
      <c r="D20" s="213">
        <f t="shared" si="1"/>
        <v>125</v>
      </c>
      <c r="E20" s="213">
        <f>125</f>
        <v>125</v>
      </c>
      <c r="F20" s="213" t="s">
        <v>29</v>
      </c>
      <c r="G20" s="213">
        <f>SUM(H20:I20)</f>
        <v>125</v>
      </c>
      <c r="H20" s="213">
        <f>125</f>
        <v>125</v>
      </c>
      <c r="I20" s="213" t="s">
        <v>29</v>
      </c>
      <c r="J20" s="213">
        <f>SUM(K20:L20)</f>
        <v>0</v>
      </c>
      <c r="K20" s="213"/>
      <c r="L20" s="213" t="s">
        <v>29</v>
      </c>
    </row>
    <row r="21" spans="1:12" s="12" customFormat="1" ht="80.25" customHeight="1">
      <c r="A21" s="219" t="s">
        <v>42</v>
      </c>
      <c r="B21" s="31" t="s">
        <v>43</v>
      </c>
      <c r="C21" s="59"/>
      <c r="D21" s="213">
        <f>SUM(E21:F21)</f>
        <v>0</v>
      </c>
      <c r="E21" s="213"/>
      <c r="F21" s="213" t="s">
        <v>29</v>
      </c>
      <c r="G21" s="213">
        <f>SUM(H21:I21)</f>
        <v>0</v>
      </c>
      <c r="H21" s="213"/>
      <c r="I21" s="213" t="s">
        <v>29</v>
      </c>
      <c r="J21" s="213">
        <f>SUM(K21:L21)</f>
        <v>0</v>
      </c>
      <c r="K21" s="213"/>
      <c r="L21" s="213" t="s">
        <v>29</v>
      </c>
    </row>
    <row r="22" spans="1:12" s="12" customFormat="1" ht="38.25">
      <c r="A22" s="57" t="s">
        <v>44</v>
      </c>
      <c r="B22" s="31" t="s">
        <v>45</v>
      </c>
      <c r="C22" s="59"/>
      <c r="D22" s="213">
        <f t="shared" si="1"/>
        <v>75</v>
      </c>
      <c r="E22" s="213">
        <f>75</f>
        <v>75</v>
      </c>
      <c r="F22" s="213" t="s">
        <v>29</v>
      </c>
      <c r="G22" s="213">
        <f aca="true" t="shared" si="2" ref="G22:G36">SUM(H22:I22)</f>
        <v>75</v>
      </c>
      <c r="H22" s="213">
        <f>75</f>
        <v>75</v>
      </c>
      <c r="I22" s="213" t="s">
        <v>29</v>
      </c>
      <c r="J22" s="213">
        <f aca="true" t="shared" si="3" ref="J22:J36">SUM(K22:L22)</f>
        <v>20</v>
      </c>
      <c r="K22" s="213">
        <v>20</v>
      </c>
      <c r="L22" s="213" t="s">
        <v>29</v>
      </c>
    </row>
    <row r="23" spans="1:12" s="12" customFormat="1" ht="63.75">
      <c r="A23" s="219" t="s">
        <v>46</v>
      </c>
      <c r="B23" s="31" t="s">
        <v>47</v>
      </c>
      <c r="C23" s="59"/>
      <c r="D23" s="213">
        <f t="shared" si="1"/>
        <v>8718.8</v>
      </c>
      <c r="E23" s="213">
        <f>8718.8</f>
        <v>8718.8</v>
      </c>
      <c r="F23" s="213" t="s">
        <v>29</v>
      </c>
      <c r="G23" s="213">
        <f t="shared" si="2"/>
        <v>8718.8</v>
      </c>
      <c r="H23" s="213">
        <f>8718.8</f>
        <v>8718.8</v>
      </c>
      <c r="I23" s="213" t="s">
        <v>29</v>
      </c>
      <c r="J23" s="213">
        <f t="shared" si="3"/>
        <v>4220</v>
      </c>
      <c r="K23" s="213">
        <f>2607.1+1612.9</f>
        <v>4220</v>
      </c>
      <c r="L23" s="213" t="s">
        <v>29</v>
      </c>
    </row>
    <row r="24" spans="1:12" s="12" customFormat="1" ht="25.5">
      <c r="A24" s="219" t="s">
        <v>48</v>
      </c>
      <c r="B24" s="31" t="s">
        <v>49</v>
      </c>
      <c r="C24" s="59"/>
      <c r="D24" s="213">
        <f t="shared" si="1"/>
        <v>500</v>
      </c>
      <c r="E24" s="213">
        <f>500</f>
        <v>500</v>
      </c>
      <c r="F24" s="213" t="s">
        <v>29</v>
      </c>
      <c r="G24" s="213">
        <f t="shared" si="2"/>
        <v>500</v>
      </c>
      <c r="H24" s="213">
        <f>500</f>
        <v>500</v>
      </c>
      <c r="I24" s="213" t="s">
        <v>29</v>
      </c>
      <c r="J24" s="213">
        <f t="shared" si="3"/>
        <v>117.2</v>
      </c>
      <c r="K24" s="213">
        <v>117.2</v>
      </c>
      <c r="L24" s="213" t="s">
        <v>29</v>
      </c>
    </row>
    <row r="25" spans="1:12" s="12" customFormat="1" ht="63.75">
      <c r="A25" s="219" t="s">
        <v>50</v>
      </c>
      <c r="B25" s="31" t="s">
        <v>51</v>
      </c>
      <c r="C25" s="59"/>
      <c r="D25" s="213">
        <f t="shared" si="1"/>
        <v>2250</v>
      </c>
      <c r="E25" s="213">
        <f>2250</f>
        <v>2250</v>
      </c>
      <c r="F25" s="213" t="s">
        <v>29</v>
      </c>
      <c r="G25" s="213">
        <f t="shared" si="2"/>
        <v>2250</v>
      </c>
      <c r="H25" s="213">
        <f>2250</f>
        <v>2250</v>
      </c>
      <c r="I25" s="213" t="s">
        <v>29</v>
      </c>
      <c r="J25" s="213">
        <f t="shared" si="3"/>
        <v>1450</v>
      </c>
      <c r="K25" s="213">
        <v>1450</v>
      </c>
      <c r="L25" s="213" t="s">
        <v>29</v>
      </c>
    </row>
    <row r="26" spans="1:12" s="12" customFormat="1" ht="63.75">
      <c r="A26" s="219" t="s">
        <v>52</v>
      </c>
      <c r="B26" s="31" t="s">
        <v>53</v>
      </c>
      <c r="C26" s="59"/>
      <c r="D26" s="213">
        <f t="shared" si="1"/>
        <v>510</v>
      </c>
      <c r="E26" s="213">
        <f>510</f>
        <v>510</v>
      </c>
      <c r="F26" s="213" t="s">
        <v>29</v>
      </c>
      <c r="G26" s="213">
        <f t="shared" si="2"/>
        <v>510</v>
      </c>
      <c r="H26" s="213">
        <f>510</f>
        <v>510</v>
      </c>
      <c r="I26" s="213" t="s">
        <v>29</v>
      </c>
      <c r="J26" s="213">
        <f t="shared" si="3"/>
        <v>922</v>
      </c>
      <c r="K26" s="213">
        <f>300+210+412</f>
        <v>922</v>
      </c>
      <c r="L26" s="213" t="s">
        <v>29</v>
      </c>
    </row>
    <row r="27" spans="1:12" s="12" customFormat="1" ht="51">
      <c r="A27" s="219" t="s">
        <v>54</v>
      </c>
      <c r="B27" s="31" t="s">
        <v>55</v>
      </c>
      <c r="C27" s="59"/>
      <c r="D27" s="213">
        <f t="shared" si="1"/>
        <v>0</v>
      </c>
      <c r="E27" s="213"/>
      <c r="F27" s="213" t="s">
        <v>29</v>
      </c>
      <c r="G27" s="213">
        <f t="shared" si="2"/>
        <v>0</v>
      </c>
      <c r="H27" s="213"/>
      <c r="I27" s="213" t="s">
        <v>29</v>
      </c>
      <c r="J27" s="213">
        <f t="shared" si="3"/>
        <v>0</v>
      </c>
      <c r="K27" s="213"/>
      <c r="L27" s="213" t="s">
        <v>29</v>
      </c>
    </row>
    <row r="28" spans="1:12" s="12" customFormat="1" ht="25.5">
      <c r="A28" s="219" t="s">
        <v>56</v>
      </c>
      <c r="B28" s="31" t="s">
        <v>57</v>
      </c>
      <c r="C28" s="59"/>
      <c r="D28" s="213">
        <f t="shared" si="1"/>
        <v>7610</v>
      </c>
      <c r="E28" s="213">
        <f>7610</f>
        <v>7610</v>
      </c>
      <c r="F28" s="213" t="s">
        <v>29</v>
      </c>
      <c r="G28" s="213">
        <f t="shared" si="2"/>
        <v>7610</v>
      </c>
      <c r="H28" s="213">
        <f>7610</f>
        <v>7610</v>
      </c>
      <c r="I28" s="213" t="s">
        <v>29</v>
      </c>
      <c r="J28" s="213">
        <f t="shared" si="3"/>
        <v>4158.58</v>
      </c>
      <c r="K28" s="213">
        <v>4158.58</v>
      </c>
      <c r="L28" s="213" t="s">
        <v>29</v>
      </c>
    </row>
    <row r="29" spans="1:12" s="12" customFormat="1" ht="35.25" customHeight="1">
      <c r="A29" s="220">
        <v>1143</v>
      </c>
      <c r="B29" s="31" t="s">
        <v>58</v>
      </c>
      <c r="C29" s="59"/>
      <c r="D29" s="213">
        <f t="shared" si="1"/>
        <v>50</v>
      </c>
      <c r="E29" s="213">
        <f>50</f>
        <v>50</v>
      </c>
      <c r="F29" s="213" t="s">
        <v>29</v>
      </c>
      <c r="G29" s="213">
        <f t="shared" si="2"/>
        <v>50</v>
      </c>
      <c r="H29" s="213">
        <f>50</f>
        <v>50</v>
      </c>
      <c r="I29" s="213" t="s">
        <v>29</v>
      </c>
      <c r="J29" s="213">
        <f t="shared" si="3"/>
        <v>0</v>
      </c>
      <c r="K29" s="213"/>
      <c r="L29" s="213" t="s">
        <v>29</v>
      </c>
    </row>
    <row r="30" spans="1:12" s="12" customFormat="1" ht="63.75">
      <c r="A30" s="220">
        <v>1144</v>
      </c>
      <c r="B30" s="31" t="s">
        <v>59</v>
      </c>
      <c r="C30" s="59"/>
      <c r="D30" s="213">
        <f t="shared" si="1"/>
        <v>0</v>
      </c>
      <c r="E30" s="213"/>
      <c r="F30" s="213" t="s">
        <v>29</v>
      </c>
      <c r="G30" s="213">
        <f t="shared" si="2"/>
        <v>0</v>
      </c>
      <c r="H30" s="213"/>
      <c r="I30" s="213" t="s">
        <v>29</v>
      </c>
      <c r="J30" s="213">
        <f t="shared" si="3"/>
        <v>0</v>
      </c>
      <c r="K30" s="213"/>
      <c r="L30" s="213" t="s">
        <v>29</v>
      </c>
    </row>
    <row r="31" spans="1:12" s="12" customFormat="1" ht="38.25">
      <c r="A31" s="220">
        <v>1145</v>
      </c>
      <c r="B31" s="31" t="s">
        <v>60</v>
      </c>
      <c r="C31" s="59"/>
      <c r="D31" s="213">
        <f t="shared" si="1"/>
        <v>50</v>
      </c>
      <c r="E31" s="213">
        <f>50</f>
        <v>50</v>
      </c>
      <c r="F31" s="213" t="s">
        <v>29</v>
      </c>
      <c r="G31" s="213">
        <f t="shared" si="2"/>
        <v>50</v>
      </c>
      <c r="H31" s="213">
        <f>50</f>
        <v>50</v>
      </c>
      <c r="I31" s="213" t="s">
        <v>29</v>
      </c>
      <c r="J31" s="213">
        <f t="shared" si="3"/>
        <v>50</v>
      </c>
      <c r="K31" s="213">
        <f>50</f>
        <v>50</v>
      </c>
      <c r="L31" s="213" t="s">
        <v>29</v>
      </c>
    </row>
    <row r="32" spans="1:12" s="12" customFormat="1" ht="12.75">
      <c r="A32" s="220">
        <v>1146</v>
      </c>
      <c r="B32" s="31" t="s">
        <v>751</v>
      </c>
      <c r="C32" s="59"/>
      <c r="D32" s="213">
        <f t="shared" si="1"/>
        <v>0</v>
      </c>
      <c r="E32" s="213"/>
      <c r="F32" s="213"/>
      <c r="G32" s="213">
        <f t="shared" si="2"/>
        <v>0</v>
      </c>
      <c r="H32" s="213"/>
      <c r="I32" s="213"/>
      <c r="J32" s="213">
        <f t="shared" si="3"/>
        <v>0</v>
      </c>
      <c r="K32" s="213"/>
      <c r="L32" s="213"/>
    </row>
    <row r="33" spans="1:12" s="12" customFormat="1" ht="38.25">
      <c r="A33" s="220">
        <v>1147</v>
      </c>
      <c r="B33" s="31" t="s">
        <v>752</v>
      </c>
      <c r="C33" s="59"/>
      <c r="D33" s="213">
        <f t="shared" si="1"/>
        <v>0</v>
      </c>
      <c r="E33" s="213"/>
      <c r="F33" s="213"/>
      <c r="G33" s="213">
        <f t="shared" si="2"/>
        <v>0</v>
      </c>
      <c r="H33" s="213"/>
      <c r="I33" s="213"/>
      <c r="J33" s="213">
        <f t="shared" si="3"/>
        <v>0</v>
      </c>
      <c r="K33" s="213"/>
      <c r="L33" s="213"/>
    </row>
    <row r="34" spans="1:12" s="12" customFormat="1" ht="37.5" customHeight="1">
      <c r="A34" s="220">
        <v>1148</v>
      </c>
      <c r="B34" s="31" t="s">
        <v>753</v>
      </c>
      <c r="C34" s="59"/>
      <c r="D34" s="213">
        <f t="shared" si="1"/>
        <v>1105.4</v>
      </c>
      <c r="E34" s="213">
        <f>1105.4</f>
        <v>1105.4</v>
      </c>
      <c r="F34" s="213"/>
      <c r="G34" s="213">
        <f t="shared" si="2"/>
        <v>1105.4</v>
      </c>
      <c r="H34" s="213">
        <f>1105.4</f>
        <v>1105.4</v>
      </c>
      <c r="I34" s="213"/>
      <c r="J34" s="213">
        <f t="shared" si="3"/>
        <v>822.9</v>
      </c>
      <c r="K34" s="213">
        <v>822.9</v>
      </c>
      <c r="L34" s="213"/>
    </row>
    <row r="35" spans="1:12" s="12" customFormat="1" ht="38.25">
      <c r="A35" s="220">
        <v>1149</v>
      </c>
      <c r="B35" s="31" t="s">
        <v>754</v>
      </c>
      <c r="C35" s="59"/>
      <c r="D35" s="213">
        <f t="shared" si="1"/>
        <v>1250</v>
      </c>
      <c r="E35" s="213">
        <f>1250</f>
        <v>1250</v>
      </c>
      <c r="F35" s="213"/>
      <c r="G35" s="213">
        <f t="shared" si="2"/>
        <v>1250</v>
      </c>
      <c r="H35" s="213">
        <f>1250</f>
        <v>1250</v>
      </c>
      <c r="I35" s="213"/>
      <c r="J35" s="213">
        <f t="shared" si="3"/>
        <v>600</v>
      </c>
      <c r="K35" s="213">
        <f>450+150</f>
        <v>600</v>
      </c>
      <c r="L35" s="213"/>
    </row>
    <row r="36" spans="1:12" s="12" customFormat="1" ht="12.75">
      <c r="A36" s="220">
        <v>1150</v>
      </c>
      <c r="B36" s="31" t="s">
        <v>755</v>
      </c>
      <c r="C36" s="59"/>
      <c r="D36" s="213">
        <f t="shared" si="1"/>
        <v>0</v>
      </c>
      <c r="E36" s="213"/>
      <c r="F36" s="213"/>
      <c r="G36" s="213">
        <f t="shared" si="2"/>
        <v>0</v>
      </c>
      <c r="H36" s="213"/>
      <c r="I36" s="213"/>
      <c r="J36" s="213">
        <f t="shared" si="3"/>
        <v>0</v>
      </c>
      <c r="K36" s="213"/>
      <c r="L36" s="213"/>
    </row>
    <row r="37" spans="1:12" s="28" customFormat="1" ht="38.25">
      <c r="A37" s="223">
        <v>1150</v>
      </c>
      <c r="B37" s="34" t="s">
        <v>61</v>
      </c>
      <c r="C37" s="228">
        <v>7146</v>
      </c>
      <c r="D37" s="215">
        <f>SUM(D38)</f>
        <v>4200</v>
      </c>
      <c r="E37" s="215">
        <f>SUM(E38)</f>
        <v>4200</v>
      </c>
      <c r="F37" s="214" t="s">
        <v>29</v>
      </c>
      <c r="G37" s="215">
        <f>SUM(G38)</f>
        <v>4200</v>
      </c>
      <c r="H37" s="215">
        <f>SUM(H38)</f>
        <v>4200</v>
      </c>
      <c r="I37" s="214" t="s">
        <v>29</v>
      </c>
      <c r="J37" s="215">
        <f>SUM(J38)</f>
        <v>3148.2</v>
      </c>
      <c r="K37" s="215">
        <f>SUM(K38)</f>
        <v>3148.2</v>
      </c>
      <c r="L37" s="214" t="s">
        <v>29</v>
      </c>
    </row>
    <row r="38" spans="1:12" ht="25.5">
      <c r="A38" s="220">
        <v>1151</v>
      </c>
      <c r="B38" s="29" t="s">
        <v>354</v>
      </c>
      <c r="C38" s="59"/>
      <c r="D38" s="213">
        <f>SUM(D39,D40)</f>
        <v>4200</v>
      </c>
      <c r="E38" s="213">
        <f>SUM(E39,E40)</f>
        <v>4200</v>
      </c>
      <c r="F38" s="213" t="s">
        <v>29</v>
      </c>
      <c r="G38" s="213">
        <f>SUM(G39,G40)</f>
        <v>4200</v>
      </c>
      <c r="H38" s="213">
        <f>SUM(H39,H40)</f>
        <v>4200</v>
      </c>
      <c r="I38" s="213" t="s">
        <v>29</v>
      </c>
      <c r="J38" s="213">
        <f>SUM(J39,J40)</f>
        <v>3148.2</v>
      </c>
      <c r="K38" s="213">
        <f>SUM(K39,K40)</f>
        <v>3148.2</v>
      </c>
      <c r="L38" s="213" t="s">
        <v>29</v>
      </c>
    </row>
    <row r="39" spans="1:12" s="12" customFormat="1" ht="99" customHeight="1">
      <c r="A39" s="220">
        <v>1152</v>
      </c>
      <c r="B39" s="31" t="s">
        <v>355</v>
      </c>
      <c r="C39" s="59"/>
      <c r="D39" s="213">
        <f>SUM(E39:F39)</f>
        <v>1200</v>
      </c>
      <c r="E39" s="213">
        <f>1200</f>
        <v>1200</v>
      </c>
      <c r="F39" s="213" t="s">
        <v>29</v>
      </c>
      <c r="G39" s="213">
        <f>SUM(H39:I39)</f>
        <v>1200</v>
      </c>
      <c r="H39" s="213">
        <f>1200</f>
        <v>1200</v>
      </c>
      <c r="I39" s="213" t="s">
        <v>29</v>
      </c>
      <c r="J39" s="213">
        <f>SUM(K39:L39)</f>
        <v>519</v>
      </c>
      <c r="K39" s="213">
        <v>519</v>
      </c>
      <c r="L39" s="213" t="s">
        <v>29</v>
      </c>
    </row>
    <row r="40" spans="1:12" s="12" customFormat="1" ht="79.5" customHeight="1">
      <c r="A40" s="221">
        <v>1153</v>
      </c>
      <c r="B40" s="31" t="s">
        <v>347</v>
      </c>
      <c r="C40" s="59"/>
      <c r="D40" s="213">
        <f>SUM(E40:F40)</f>
        <v>3000</v>
      </c>
      <c r="E40" s="213">
        <f>3000</f>
        <v>3000</v>
      </c>
      <c r="F40" s="213" t="s">
        <v>29</v>
      </c>
      <c r="G40" s="213">
        <f>SUM(H40:I40)</f>
        <v>3000</v>
      </c>
      <c r="H40" s="213">
        <f>3000</f>
        <v>3000</v>
      </c>
      <c r="I40" s="213" t="s">
        <v>29</v>
      </c>
      <c r="J40" s="213">
        <f>SUM(K40:L40)</f>
        <v>2629.2</v>
      </c>
      <c r="K40" s="213">
        <v>2629.2</v>
      </c>
      <c r="L40" s="213" t="s">
        <v>29</v>
      </c>
    </row>
    <row r="41" spans="1:12" s="28" customFormat="1" ht="25.5">
      <c r="A41" s="223">
        <v>1160</v>
      </c>
      <c r="B41" s="34" t="s">
        <v>62</v>
      </c>
      <c r="C41" s="228">
        <v>7161</v>
      </c>
      <c r="D41" s="215">
        <f>SUM(D42,D46)</f>
        <v>0</v>
      </c>
      <c r="E41" s="215">
        <f>SUM(E42,E46)</f>
        <v>0</v>
      </c>
      <c r="F41" s="214" t="s">
        <v>29</v>
      </c>
      <c r="G41" s="215">
        <f>SUM(G42,G46)</f>
        <v>0</v>
      </c>
      <c r="H41" s="215">
        <f>SUM(H42,H46)</f>
        <v>0</v>
      </c>
      <c r="I41" s="214" t="s">
        <v>29</v>
      </c>
      <c r="J41" s="215">
        <f>SUM(J42,J46)</f>
        <v>0</v>
      </c>
      <c r="K41" s="215">
        <f>SUM(K42,K46)</f>
        <v>0</v>
      </c>
      <c r="L41" s="214" t="s">
        <v>29</v>
      </c>
    </row>
    <row r="42" spans="1:12" ht="51">
      <c r="A42" s="220">
        <v>1161</v>
      </c>
      <c r="B42" s="29" t="s">
        <v>357</v>
      </c>
      <c r="C42" s="59"/>
      <c r="D42" s="213">
        <f>SUM(D43:D45)</f>
        <v>0</v>
      </c>
      <c r="E42" s="213">
        <f>SUM(E43:E45)</f>
        <v>0</v>
      </c>
      <c r="F42" s="213" t="s">
        <v>29</v>
      </c>
      <c r="G42" s="213">
        <f>SUM(G43:G45)</f>
        <v>0</v>
      </c>
      <c r="H42" s="213">
        <f>SUM(H43:H45)</f>
        <v>0</v>
      </c>
      <c r="I42" s="213" t="s">
        <v>29</v>
      </c>
      <c r="J42" s="213">
        <f>SUM(J43:J45)</f>
        <v>0</v>
      </c>
      <c r="K42" s="213">
        <f>SUM(K43:K45)</f>
        <v>0</v>
      </c>
      <c r="L42" s="213" t="s">
        <v>29</v>
      </c>
    </row>
    <row r="43" spans="1:12" s="12" customFormat="1" ht="12.75">
      <c r="A43" s="222">
        <v>1162</v>
      </c>
      <c r="B43" s="31" t="s">
        <v>356</v>
      </c>
      <c r="C43" s="59"/>
      <c r="D43" s="213">
        <f>SUM(E43:F43)</f>
        <v>0</v>
      </c>
      <c r="E43" s="213"/>
      <c r="F43" s="213" t="s">
        <v>29</v>
      </c>
      <c r="G43" s="213">
        <f>SUM(H43:I43)</f>
        <v>0</v>
      </c>
      <c r="H43" s="213"/>
      <c r="I43" s="213" t="s">
        <v>29</v>
      </c>
      <c r="J43" s="213">
        <f>SUM(K43:L43)</f>
        <v>0</v>
      </c>
      <c r="K43" s="213"/>
      <c r="L43" s="213" t="s">
        <v>29</v>
      </c>
    </row>
    <row r="44" spans="1:12" s="12" customFormat="1" ht="12.75">
      <c r="A44" s="222">
        <v>1163</v>
      </c>
      <c r="B44" s="33" t="s">
        <v>63</v>
      </c>
      <c r="C44" s="59"/>
      <c r="D44" s="213">
        <f>SUM(E44:F44)</f>
        <v>0</v>
      </c>
      <c r="E44" s="213"/>
      <c r="F44" s="213" t="s">
        <v>29</v>
      </c>
      <c r="G44" s="213">
        <f>SUM(H44:I44)</f>
        <v>0</v>
      </c>
      <c r="H44" s="213"/>
      <c r="I44" s="213" t="s">
        <v>29</v>
      </c>
      <c r="J44" s="213">
        <f>SUM(K44:L44)</f>
        <v>0</v>
      </c>
      <c r="K44" s="213"/>
      <c r="L44" s="213" t="s">
        <v>29</v>
      </c>
    </row>
    <row r="45" spans="1:12" s="12" customFormat="1" ht="63.75">
      <c r="A45" s="222">
        <v>1164</v>
      </c>
      <c r="B45" s="33" t="s">
        <v>569</v>
      </c>
      <c r="C45" s="59"/>
      <c r="D45" s="213">
        <f>SUM(E45:F45)</f>
        <v>0</v>
      </c>
      <c r="E45" s="213"/>
      <c r="F45" s="213" t="s">
        <v>29</v>
      </c>
      <c r="G45" s="213">
        <f>SUM(H45:I45)</f>
        <v>0</v>
      </c>
      <c r="H45" s="213"/>
      <c r="I45" s="213" t="s">
        <v>29</v>
      </c>
      <c r="J45" s="213">
        <f>SUM(K45:L45)</f>
        <v>0</v>
      </c>
      <c r="K45" s="213"/>
      <c r="L45" s="213" t="s">
        <v>29</v>
      </c>
    </row>
    <row r="46" spans="1:12" s="12" customFormat="1" ht="76.5">
      <c r="A46" s="222">
        <v>1165</v>
      </c>
      <c r="B46" s="29" t="s">
        <v>64</v>
      </c>
      <c r="C46" s="59"/>
      <c r="D46" s="213">
        <f>SUM(E46:F46)</f>
        <v>0</v>
      </c>
      <c r="E46" s="213"/>
      <c r="F46" s="213" t="s">
        <v>29</v>
      </c>
      <c r="G46" s="213">
        <f>SUM(H46:I46)</f>
        <v>0</v>
      </c>
      <c r="H46" s="213"/>
      <c r="I46" s="213" t="s">
        <v>29</v>
      </c>
      <c r="J46" s="213">
        <f>SUM(K46:L46)</f>
        <v>0</v>
      </c>
      <c r="K46" s="213"/>
      <c r="L46" s="213" t="s">
        <v>29</v>
      </c>
    </row>
    <row r="47" spans="1:12" s="28" customFormat="1" ht="38.25">
      <c r="A47" s="223">
        <v>1200</v>
      </c>
      <c r="B47" s="34" t="s">
        <v>65</v>
      </c>
      <c r="C47" s="228">
        <v>7300</v>
      </c>
      <c r="D47" s="215">
        <f aca="true" t="shared" si="4" ref="D47:I47">SUM(D48,D50,D52,D54,D56,D64)</f>
        <v>441541.89999999997</v>
      </c>
      <c r="E47" s="215">
        <f t="shared" si="4"/>
        <v>441541.89999999997</v>
      </c>
      <c r="F47" s="215">
        <f t="shared" si="4"/>
        <v>0</v>
      </c>
      <c r="G47" s="215">
        <f t="shared" si="4"/>
        <v>440040.7</v>
      </c>
      <c r="H47" s="215">
        <f t="shared" si="4"/>
        <v>440040.7</v>
      </c>
      <c r="I47" s="215">
        <f t="shared" si="4"/>
        <v>0</v>
      </c>
      <c r="J47" s="215">
        <f>SUM(J48,J50,J52,J54,J56,J64)</f>
        <v>329159</v>
      </c>
      <c r="K47" s="215">
        <f>SUM(K48,K50,K52,K54,K56,K64)</f>
        <v>329159</v>
      </c>
      <c r="L47" s="215">
        <f>SUM(L48,L50,L52,L54,L56,L64)</f>
        <v>0</v>
      </c>
    </row>
    <row r="48" spans="1:12" s="28" customFormat="1" ht="36.75">
      <c r="A48" s="223">
        <v>1210</v>
      </c>
      <c r="B48" s="34" t="s">
        <v>671</v>
      </c>
      <c r="C48" s="228">
        <v>7311</v>
      </c>
      <c r="D48" s="214">
        <f>SUM(D49)</f>
        <v>0</v>
      </c>
      <c r="E48" s="214">
        <f>SUM(E49)</f>
        <v>0</v>
      </c>
      <c r="F48" s="214" t="s">
        <v>29</v>
      </c>
      <c r="G48" s="214">
        <f>SUM(G49)</f>
        <v>0</v>
      </c>
      <c r="H48" s="214">
        <f>SUM(H49)</f>
        <v>0</v>
      </c>
      <c r="I48" s="214" t="s">
        <v>29</v>
      </c>
      <c r="J48" s="214">
        <f>SUM(J49)</f>
        <v>0</v>
      </c>
      <c r="K48" s="214">
        <f>SUM(K49)</f>
        <v>0</v>
      </c>
      <c r="L48" s="214" t="s">
        <v>29</v>
      </c>
    </row>
    <row r="49" spans="1:12" ht="60.75" customHeight="1">
      <c r="A49" s="220">
        <v>1211</v>
      </c>
      <c r="B49" s="29" t="s">
        <v>583</v>
      </c>
      <c r="C49" s="226"/>
      <c r="D49" s="213">
        <f>SUM(E49:F49)</f>
        <v>0</v>
      </c>
      <c r="E49" s="213"/>
      <c r="F49" s="213" t="s">
        <v>29</v>
      </c>
      <c r="G49" s="213">
        <f>SUM(H49:I49)</f>
        <v>0</v>
      </c>
      <c r="H49" s="213"/>
      <c r="I49" s="213" t="s">
        <v>29</v>
      </c>
      <c r="J49" s="213">
        <f>SUM(K49:L49)</f>
        <v>0</v>
      </c>
      <c r="K49" s="213"/>
      <c r="L49" s="213" t="s">
        <v>29</v>
      </c>
    </row>
    <row r="50" spans="1:12" s="28" customFormat="1" ht="38.25">
      <c r="A50" s="223">
        <v>1220</v>
      </c>
      <c r="B50" s="34" t="s">
        <v>66</v>
      </c>
      <c r="C50" s="227">
        <v>7312</v>
      </c>
      <c r="D50" s="214">
        <f>SUM(D51)</f>
        <v>0</v>
      </c>
      <c r="E50" s="214" t="s">
        <v>29</v>
      </c>
      <c r="F50" s="214">
        <f>SUM(F51)</f>
        <v>0</v>
      </c>
      <c r="G50" s="214">
        <f>SUM(G51)</f>
        <v>0</v>
      </c>
      <c r="H50" s="214" t="s">
        <v>29</v>
      </c>
      <c r="I50" s="214">
        <f>SUM(I51)</f>
        <v>0</v>
      </c>
      <c r="J50" s="214">
        <f>SUM(J51)</f>
        <v>0</v>
      </c>
      <c r="K50" s="214" t="s">
        <v>29</v>
      </c>
      <c r="L50" s="214">
        <f>SUM(L51)</f>
        <v>0</v>
      </c>
    </row>
    <row r="51" spans="1:12" ht="63.75">
      <c r="A51" s="221">
        <v>1221</v>
      </c>
      <c r="B51" s="29" t="s">
        <v>358</v>
      </c>
      <c r="C51" s="226"/>
      <c r="D51" s="213">
        <f>SUM(E51:F51)</f>
        <v>0</v>
      </c>
      <c r="E51" s="213" t="s">
        <v>29</v>
      </c>
      <c r="F51" s="213"/>
      <c r="G51" s="213">
        <f>SUM(H51:I51)</f>
        <v>0</v>
      </c>
      <c r="H51" s="213" t="s">
        <v>29</v>
      </c>
      <c r="I51" s="213"/>
      <c r="J51" s="213">
        <f>SUM(K51:L51)</f>
        <v>0</v>
      </c>
      <c r="K51" s="213" t="s">
        <v>29</v>
      </c>
      <c r="L51" s="213"/>
    </row>
    <row r="52" spans="1:12" s="28" customFormat="1" ht="45.75" customHeight="1">
      <c r="A52" s="223">
        <v>1230</v>
      </c>
      <c r="B52" s="34" t="s">
        <v>67</v>
      </c>
      <c r="C52" s="227">
        <v>7321</v>
      </c>
      <c r="D52" s="214">
        <f>SUM(D53)</f>
        <v>0</v>
      </c>
      <c r="E52" s="214">
        <f>SUM(E53)</f>
        <v>0</v>
      </c>
      <c r="F52" s="214" t="s">
        <v>29</v>
      </c>
      <c r="G52" s="214">
        <f>SUM(G53)</f>
        <v>0</v>
      </c>
      <c r="H52" s="214">
        <f>SUM(H53)</f>
        <v>0</v>
      </c>
      <c r="I52" s="214" t="s">
        <v>29</v>
      </c>
      <c r="J52" s="214">
        <f>SUM(J53)</f>
        <v>0</v>
      </c>
      <c r="K52" s="214">
        <f>SUM(K53)</f>
        <v>0</v>
      </c>
      <c r="L52" s="214" t="s">
        <v>29</v>
      </c>
    </row>
    <row r="53" spans="1:12" ht="51">
      <c r="A53" s="220">
        <v>1231</v>
      </c>
      <c r="B53" s="29" t="s">
        <v>359</v>
      </c>
      <c r="C53" s="226"/>
      <c r="D53" s="213">
        <f>SUM(E53:F53)</f>
        <v>0</v>
      </c>
      <c r="E53" s="213"/>
      <c r="F53" s="213" t="s">
        <v>29</v>
      </c>
      <c r="G53" s="213">
        <f>SUM(H53:I53)</f>
        <v>0</v>
      </c>
      <c r="H53" s="213"/>
      <c r="I53" s="213" t="s">
        <v>29</v>
      </c>
      <c r="J53" s="213">
        <f>SUM(K53:L53)</f>
        <v>0</v>
      </c>
      <c r="K53" s="213"/>
      <c r="L53" s="213" t="s">
        <v>29</v>
      </c>
    </row>
    <row r="54" spans="1:12" s="28" customFormat="1" ht="38.25">
      <c r="A54" s="223">
        <v>1240</v>
      </c>
      <c r="B54" s="34" t="s">
        <v>68</v>
      </c>
      <c r="C54" s="227">
        <v>7322</v>
      </c>
      <c r="D54" s="214">
        <f>SUM(D55)</f>
        <v>0</v>
      </c>
      <c r="E54" s="214" t="s">
        <v>29</v>
      </c>
      <c r="F54" s="214">
        <f>SUM(F55)</f>
        <v>0</v>
      </c>
      <c r="G54" s="214">
        <f>SUM(G55)</f>
        <v>0</v>
      </c>
      <c r="H54" s="214" t="s">
        <v>29</v>
      </c>
      <c r="I54" s="214">
        <f>SUM(I55)</f>
        <v>0</v>
      </c>
      <c r="J54" s="214">
        <f>SUM(J55)</f>
        <v>0</v>
      </c>
      <c r="K54" s="214" t="s">
        <v>29</v>
      </c>
      <c r="L54" s="214">
        <f>SUM(L55)</f>
        <v>0</v>
      </c>
    </row>
    <row r="55" spans="1:12" ht="51">
      <c r="A55" s="220">
        <v>1241</v>
      </c>
      <c r="B55" s="29" t="s">
        <v>360</v>
      </c>
      <c r="C55" s="226"/>
      <c r="D55" s="213">
        <f>SUM(E55:F55)</f>
        <v>0</v>
      </c>
      <c r="E55" s="213" t="s">
        <v>29</v>
      </c>
      <c r="F55" s="213"/>
      <c r="G55" s="213">
        <f>SUM(H55:I55)</f>
        <v>0</v>
      </c>
      <c r="H55" s="213" t="s">
        <v>29</v>
      </c>
      <c r="I55" s="213"/>
      <c r="J55" s="213">
        <f>SUM(K55:L55)</f>
        <v>0</v>
      </c>
      <c r="K55" s="213" t="s">
        <v>29</v>
      </c>
      <c r="L55" s="213"/>
    </row>
    <row r="56" spans="1:12" s="28" customFormat="1" ht="51" customHeight="1">
      <c r="A56" s="223">
        <v>1250</v>
      </c>
      <c r="B56" s="34" t="s">
        <v>69</v>
      </c>
      <c r="C56" s="228">
        <v>7331</v>
      </c>
      <c r="D56" s="215">
        <f>SUM(D57,D58,D61,D62)</f>
        <v>441541.89999999997</v>
      </c>
      <c r="E56" s="215">
        <f>SUM(E57,E58,E61,E62)</f>
        <v>441541.89999999997</v>
      </c>
      <c r="F56" s="214" t="s">
        <v>29</v>
      </c>
      <c r="G56" s="215">
        <f>SUM(G57,G58,G61,G62)</f>
        <v>440040.7</v>
      </c>
      <c r="H56" s="215">
        <f>SUM(H57,H58,H61,H62)</f>
        <v>440040.7</v>
      </c>
      <c r="I56" s="214" t="s">
        <v>29</v>
      </c>
      <c r="J56" s="215">
        <f>SUM(J57,J58,J61,J62)</f>
        <v>329159</v>
      </c>
      <c r="K56" s="215">
        <f>SUM(K57,K58,K61,K62)</f>
        <v>329159</v>
      </c>
      <c r="L56" s="214" t="s">
        <v>29</v>
      </c>
    </row>
    <row r="57" spans="1:12" ht="51">
      <c r="A57" s="220">
        <v>1251</v>
      </c>
      <c r="B57" s="29" t="s">
        <v>70</v>
      </c>
      <c r="C57" s="59"/>
      <c r="D57" s="213">
        <f>SUM(E57:F57)</f>
        <v>429538.8</v>
      </c>
      <c r="E57" s="213">
        <f>429538.8</f>
        <v>429538.8</v>
      </c>
      <c r="F57" s="213" t="s">
        <v>29</v>
      </c>
      <c r="G57" s="213">
        <f>SUM(H57:I57)</f>
        <v>429327</v>
      </c>
      <c r="H57" s="213">
        <f>429538.8-211.8</f>
        <v>429327</v>
      </c>
      <c r="I57" s="213" t="s">
        <v>29</v>
      </c>
      <c r="J57" s="213">
        <f>SUM(K57:L57)</f>
        <v>321995.3</v>
      </c>
      <c r="K57" s="213">
        <v>321995.3</v>
      </c>
      <c r="L57" s="213" t="s">
        <v>29</v>
      </c>
    </row>
    <row r="58" spans="1:12" ht="25.5">
      <c r="A58" s="220">
        <v>1254</v>
      </c>
      <c r="B58" s="29" t="s">
        <v>570</v>
      </c>
      <c r="C58" s="226"/>
      <c r="D58" s="213">
        <f>SUM(D59:D60)</f>
        <v>0</v>
      </c>
      <c r="E58" s="213">
        <f>SUM(E59:E60)</f>
        <v>0</v>
      </c>
      <c r="F58" s="213" t="s">
        <v>29</v>
      </c>
      <c r="G58" s="213">
        <f>SUM(G59:G60)</f>
        <v>211.8</v>
      </c>
      <c r="H58" s="213">
        <f>SUM(H59:H60)</f>
        <v>211.8</v>
      </c>
      <c r="I58" s="213" t="s">
        <v>29</v>
      </c>
      <c r="J58" s="213">
        <f>SUM(J59:J60)</f>
        <v>158.9</v>
      </c>
      <c r="K58" s="213">
        <f>SUM(K59:K60)</f>
        <v>158.9</v>
      </c>
      <c r="L58" s="213" t="s">
        <v>29</v>
      </c>
    </row>
    <row r="59" spans="1:12" ht="63.75">
      <c r="A59" s="220">
        <v>1255</v>
      </c>
      <c r="B59" s="31" t="s">
        <v>361</v>
      </c>
      <c r="C59" s="59"/>
      <c r="D59" s="213">
        <f>SUM(E59:F59)</f>
        <v>0</v>
      </c>
      <c r="E59" s="213"/>
      <c r="F59" s="213" t="s">
        <v>29</v>
      </c>
      <c r="G59" s="213">
        <f>SUM(H59:I59)</f>
        <v>211.8</v>
      </c>
      <c r="H59" s="213">
        <f>211.8</f>
        <v>211.8</v>
      </c>
      <c r="I59" s="213" t="s">
        <v>29</v>
      </c>
      <c r="J59" s="213">
        <f>SUM(K59:L59)</f>
        <v>158.9</v>
      </c>
      <c r="K59" s="213">
        <v>158.9</v>
      </c>
      <c r="L59" s="213" t="s">
        <v>29</v>
      </c>
    </row>
    <row r="60" spans="1:12" ht="12.75">
      <c r="A60" s="220">
        <v>1256</v>
      </c>
      <c r="B60" s="32" t="s">
        <v>71</v>
      </c>
      <c r="C60" s="59"/>
      <c r="D60" s="213">
        <f>SUM(E60:F60)</f>
        <v>0</v>
      </c>
      <c r="E60" s="213"/>
      <c r="F60" s="213" t="s">
        <v>29</v>
      </c>
      <c r="G60" s="213">
        <f>SUM(H60:I60)</f>
        <v>0</v>
      </c>
      <c r="H60" s="213"/>
      <c r="I60" s="213" t="s">
        <v>29</v>
      </c>
      <c r="J60" s="213">
        <f>SUM(K60:L60)</f>
        <v>0</v>
      </c>
      <c r="K60" s="213"/>
      <c r="L60" s="213" t="s">
        <v>29</v>
      </c>
    </row>
    <row r="61" spans="1:12" ht="25.5">
      <c r="A61" s="220">
        <v>1257</v>
      </c>
      <c r="B61" s="29" t="s">
        <v>72</v>
      </c>
      <c r="C61" s="226"/>
      <c r="D61" s="213">
        <f>SUM(E61:F61)</f>
        <v>12003.1</v>
      </c>
      <c r="E61" s="213">
        <f>12003.1</f>
        <v>12003.1</v>
      </c>
      <c r="F61" s="213" t="s">
        <v>29</v>
      </c>
      <c r="G61" s="213">
        <f>SUM(H61:I61)</f>
        <v>10501.9</v>
      </c>
      <c r="H61" s="213">
        <f>12003.1-1501.2</f>
        <v>10501.9</v>
      </c>
      <c r="I61" s="213" t="s">
        <v>29</v>
      </c>
      <c r="J61" s="213">
        <f>SUM(K61:L61)</f>
        <v>7004.8</v>
      </c>
      <c r="K61" s="213">
        <v>7004.8</v>
      </c>
      <c r="L61" s="213" t="s">
        <v>29</v>
      </c>
    </row>
    <row r="62" spans="1:12" ht="38.25">
      <c r="A62" s="220">
        <v>1258</v>
      </c>
      <c r="B62" s="29" t="s">
        <v>73</v>
      </c>
      <c r="C62" s="226"/>
      <c r="D62" s="213">
        <f>SUM(E62:F62)</f>
        <v>0</v>
      </c>
      <c r="E62" s="213"/>
      <c r="F62" s="213" t="s">
        <v>29</v>
      </c>
      <c r="G62" s="213">
        <f>SUM(H62:I62)</f>
        <v>0</v>
      </c>
      <c r="H62" s="213"/>
      <c r="I62" s="213" t="s">
        <v>29</v>
      </c>
      <c r="J62" s="213">
        <f>SUM(K62:L62)</f>
        <v>0</v>
      </c>
      <c r="K62" s="213"/>
      <c r="L62" s="213" t="s">
        <v>29</v>
      </c>
    </row>
    <row r="63" spans="1:12" ht="38.25">
      <c r="A63" s="220">
        <v>1259</v>
      </c>
      <c r="B63" s="31" t="s">
        <v>362</v>
      </c>
      <c r="C63" s="226"/>
      <c r="D63" s="213">
        <f>SUM(E63:F63)</f>
        <v>0</v>
      </c>
      <c r="E63" s="213"/>
      <c r="F63" s="213" t="s">
        <v>29</v>
      </c>
      <c r="G63" s="213">
        <f>SUM(H63:I63)</f>
        <v>0</v>
      </c>
      <c r="H63" s="213"/>
      <c r="I63" s="213" t="s">
        <v>29</v>
      </c>
      <c r="J63" s="213">
        <f>SUM(K63:L63)</f>
        <v>0</v>
      </c>
      <c r="K63" s="213"/>
      <c r="L63" s="213" t="s">
        <v>29</v>
      </c>
    </row>
    <row r="64" spans="1:12" s="28" customFormat="1" ht="39" customHeight="1">
      <c r="A64" s="223">
        <v>1260</v>
      </c>
      <c r="B64" s="34" t="s">
        <v>74</v>
      </c>
      <c r="C64" s="228">
        <v>7332</v>
      </c>
      <c r="D64" s="215">
        <f>SUM(D65:D66)</f>
        <v>0</v>
      </c>
      <c r="E64" s="214" t="s">
        <v>29</v>
      </c>
      <c r="F64" s="215">
        <f>SUM(F65:F66)</f>
        <v>0</v>
      </c>
      <c r="G64" s="215">
        <f>SUM(G65:G66)</f>
        <v>0</v>
      </c>
      <c r="H64" s="214" t="s">
        <v>29</v>
      </c>
      <c r="I64" s="215">
        <f>SUM(I65:I66)</f>
        <v>0</v>
      </c>
      <c r="J64" s="215">
        <f>SUM(J65:J66)</f>
        <v>0</v>
      </c>
      <c r="K64" s="214" t="s">
        <v>29</v>
      </c>
      <c r="L64" s="215">
        <f>SUM(L65:L66)</f>
        <v>0</v>
      </c>
    </row>
    <row r="65" spans="1:12" ht="38.25">
      <c r="A65" s="220">
        <v>1261</v>
      </c>
      <c r="B65" s="29" t="s">
        <v>363</v>
      </c>
      <c r="C65" s="226"/>
      <c r="D65" s="213">
        <f>SUM(E65:F65)</f>
        <v>0</v>
      </c>
      <c r="E65" s="213" t="s">
        <v>29</v>
      </c>
      <c r="F65" s="213"/>
      <c r="G65" s="213">
        <f>SUM(H65:I65)</f>
        <v>0</v>
      </c>
      <c r="H65" s="213" t="s">
        <v>29</v>
      </c>
      <c r="I65" s="213"/>
      <c r="J65" s="213">
        <f>SUM(K65:L65)</f>
        <v>0</v>
      </c>
      <c r="K65" s="213" t="s">
        <v>29</v>
      </c>
      <c r="L65" s="213"/>
    </row>
    <row r="66" spans="1:12" ht="38.25">
      <c r="A66" s="220">
        <v>1262</v>
      </c>
      <c r="B66" s="29" t="s">
        <v>75</v>
      </c>
      <c r="C66" s="226"/>
      <c r="D66" s="213">
        <f>SUM(E66:F66)</f>
        <v>0</v>
      </c>
      <c r="E66" s="213" t="s">
        <v>29</v>
      </c>
      <c r="F66" s="213"/>
      <c r="G66" s="213">
        <f>SUM(H66:I66)</f>
        <v>0</v>
      </c>
      <c r="H66" s="213" t="s">
        <v>29</v>
      </c>
      <c r="I66" s="213"/>
      <c r="J66" s="213">
        <f>SUM(K66:L66)</f>
        <v>0</v>
      </c>
      <c r="K66" s="213" t="s">
        <v>29</v>
      </c>
      <c r="L66" s="213"/>
    </row>
    <row r="67" spans="1:12" ht="38.25">
      <c r="A67" s="219" t="s">
        <v>76</v>
      </c>
      <c r="B67" s="31" t="s">
        <v>362</v>
      </c>
      <c r="C67" s="226"/>
      <c r="D67" s="213">
        <f>SUM(E67:F67)</f>
        <v>0</v>
      </c>
      <c r="E67" s="213" t="s">
        <v>29</v>
      </c>
      <c r="F67" s="213"/>
      <c r="G67" s="213">
        <f>SUM(H67:I67)</f>
        <v>0</v>
      </c>
      <c r="H67" s="213" t="s">
        <v>29</v>
      </c>
      <c r="I67" s="213"/>
      <c r="J67" s="213">
        <f>SUM(K67:L67)</f>
        <v>0</v>
      </c>
      <c r="K67" s="213" t="s">
        <v>29</v>
      </c>
      <c r="L67" s="213"/>
    </row>
    <row r="68" spans="1:12" s="28" customFormat="1" ht="38.25">
      <c r="A68" s="224" t="s">
        <v>77</v>
      </c>
      <c r="B68" s="34" t="s">
        <v>364</v>
      </c>
      <c r="C68" s="228">
        <v>7400</v>
      </c>
      <c r="D68" s="215">
        <f aca="true" t="shared" si="5" ref="D68:I68">SUM(D69,D71,D73,D78,D82,D85,D88,D91,D94)</f>
        <v>164181.9</v>
      </c>
      <c r="E68" s="215">
        <f t="shared" si="5"/>
        <v>164181.9</v>
      </c>
      <c r="F68" s="215">
        <f t="shared" si="5"/>
        <v>0</v>
      </c>
      <c r="G68" s="215">
        <f t="shared" si="5"/>
        <v>164180.4</v>
      </c>
      <c r="H68" s="215">
        <f t="shared" si="5"/>
        <v>164180.4</v>
      </c>
      <c r="I68" s="215">
        <f t="shared" si="5"/>
        <v>0</v>
      </c>
      <c r="J68" s="215">
        <f>SUM(J69,J71,J73,J78,J82,J85,J88,J91,J94)</f>
        <v>101034.832</v>
      </c>
      <c r="K68" s="215">
        <f>SUM(K69,K71,K73,K78,K82,K85,K88,K91,K94)</f>
        <v>101034.832</v>
      </c>
      <c r="L68" s="215">
        <f>SUM(L69,L71,L73,L78,L82,L85,L88,L91,L94)</f>
        <v>0</v>
      </c>
    </row>
    <row r="69" spans="1:12" s="28" customFormat="1" ht="12.75">
      <c r="A69" s="224" t="s">
        <v>78</v>
      </c>
      <c r="B69" s="34" t="s">
        <v>672</v>
      </c>
      <c r="C69" s="228">
        <v>7411</v>
      </c>
      <c r="D69" s="215">
        <f>SUM(D70)</f>
        <v>0</v>
      </c>
      <c r="E69" s="214" t="s">
        <v>29</v>
      </c>
      <c r="F69" s="215">
        <f>SUM(F70)</f>
        <v>0</v>
      </c>
      <c r="G69" s="215">
        <f>SUM(G70)</f>
        <v>0</v>
      </c>
      <c r="H69" s="214" t="s">
        <v>29</v>
      </c>
      <c r="I69" s="215">
        <f>SUM(I70)</f>
        <v>0</v>
      </c>
      <c r="J69" s="215">
        <f>SUM(J70)</f>
        <v>0</v>
      </c>
      <c r="K69" s="214" t="s">
        <v>29</v>
      </c>
      <c r="L69" s="215">
        <f>SUM(L70)</f>
        <v>0</v>
      </c>
    </row>
    <row r="70" spans="1:12" ht="51">
      <c r="A70" s="219" t="s">
        <v>79</v>
      </c>
      <c r="B70" s="29" t="s">
        <v>366</v>
      </c>
      <c r="C70" s="226"/>
      <c r="D70" s="213">
        <f aca="true" t="shared" si="6" ref="D70:D77">SUM(E70:F70)</f>
        <v>0</v>
      </c>
      <c r="E70" s="213" t="s">
        <v>29</v>
      </c>
      <c r="F70" s="213"/>
      <c r="G70" s="213">
        <f>SUM(H70:I70)</f>
        <v>0</v>
      </c>
      <c r="H70" s="213" t="s">
        <v>29</v>
      </c>
      <c r="I70" s="213"/>
      <c r="J70" s="213">
        <f>SUM(K70:L70)</f>
        <v>0</v>
      </c>
      <c r="K70" s="213" t="s">
        <v>29</v>
      </c>
      <c r="L70" s="213"/>
    </row>
    <row r="71" spans="1:12" s="28" customFormat="1" ht="12.75">
      <c r="A71" s="224" t="s">
        <v>80</v>
      </c>
      <c r="B71" s="34" t="s">
        <v>81</v>
      </c>
      <c r="C71" s="228">
        <v>7412</v>
      </c>
      <c r="D71" s="215">
        <f>SUM(D72)</f>
        <v>0</v>
      </c>
      <c r="E71" s="215">
        <f>SUM(E72)</f>
        <v>0</v>
      </c>
      <c r="F71" s="214" t="s">
        <v>29</v>
      </c>
      <c r="G71" s="215">
        <f>SUM(G72)</f>
        <v>0</v>
      </c>
      <c r="H71" s="215">
        <f>SUM(H72)</f>
        <v>0</v>
      </c>
      <c r="I71" s="214" t="s">
        <v>29</v>
      </c>
      <c r="J71" s="215">
        <f>SUM(J72)</f>
        <v>0</v>
      </c>
      <c r="K71" s="215">
        <f>SUM(K72)</f>
        <v>0</v>
      </c>
      <c r="L71" s="214" t="s">
        <v>29</v>
      </c>
    </row>
    <row r="72" spans="1:12" ht="38.25">
      <c r="A72" s="219" t="s">
        <v>82</v>
      </c>
      <c r="B72" s="29" t="s">
        <v>367</v>
      </c>
      <c r="C72" s="226"/>
      <c r="D72" s="213">
        <f t="shared" si="6"/>
        <v>0</v>
      </c>
      <c r="E72" s="213"/>
      <c r="F72" s="213" t="s">
        <v>29</v>
      </c>
      <c r="G72" s="213">
        <f>SUM(H72:I72)</f>
        <v>0</v>
      </c>
      <c r="H72" s="213"/>
      <c r="I72" s="213" t="s">
        <v>29</v>
      </c>
      <c r="J72" s="213">
        <f>SUM(K72:L72)</f>
        <v>0</v>
      </c>
      <c r="K72" s="213"/>
      <c r="L72" s="213" t="s">
        <v>29</v>
      </c>
    </row>
    <row r="73" spans="1:12" s="28" customFormat="1" ht="33.75" customHeight="1">
      <c r="A73" s="224" t="s">
        <v>83</v>
      </c>
      <c r="B73" s="34" t="s">
        <v>84</v>
      </c>
      <c r="C73" s="228">
        <v>7415</v>
      </c>
      <c r="D73" s="215">
        <f>SUM(D74:D77)</f>
        <v>52101.2</v>
      </c>
      <c r="E73" s="215">
        <f>SUM(E74:E77)</f>
        <v>52101.2</v>
      </c>
      <c r="F73" s="214" t="s">
        <v>29</v>
      </c>
      <c r="G73" s="215">
        <f>SUM(G74:G77)</f>
        <v>52101.2</v>
      </c>
      <c r="H73" s="215">
        <f>SUM(H74:H77)</f>
        <v>52101.2</v>
      </c>
      <c r="I73" s="214" t="s">
        <v>29</v>
      </c>
      <c r="J73" s="215">
        <f>SUM(J74:J77)</f>
        <v>30064.521</v>
      </c>
      <c r="K73" s="215">
        <f>SUM(K74:K77)</f>
        <v>30064.521</v>
      </c>
      <c r="L73" s="214" t="s">
        <v>29</v>
      </c>
    </row>
    <row r="74" spans="1:12" ht="37.5" customHeight="1">
      <c r="A74" s="219" t="s">
        <v>85</v>
      </c>
      <c r="B74" s="29" t="s">
        <v>368</v>
      </c>
      <c r="C74" s="226"/>
      <c r="D74" s="213">
        <f t="shared" si="6"/>
        <v>21660.2</v>
      </c>
      <c r="E74" s="213">
        <f>21660.2</f>
        <v>21660.2</v>
      </c>
      <c r="F74" s="213" t="s">
        <v>29</v>
      </c>
      <c r="G74" s="213">
        <f>SUM(H74:I74)</f>
        <v>21660.2</v>
      </c>
      <c r="H74" s="213">
        <f>21660.2</f>
        <v>21660.2</v>
      </c>
      <c r="I74" s="213" t="s">
        <v>29</v>
      </c>
      <c r="J74" s="213">
        <f>SUM(K74:L74)</f>
        <v>11693.083</v>
      </c>
      <c r="K74" s="213">
        <v>11693.083</v>
      </c>
      <c r="L74" s="213" t="s">
        <v>29</v>
      </c>
    </row>
    <row r="75" spans="1:12" ht="38.25">
      <c r="A75" s="219" t="s">
        <v>86</v>
      </c>
      <c r="B75" s="29" t="s">
        <v>87</v>
      </c>
      <c r="C75" s="226"/>
      <c r="D75" s="213">
        <f t="shared" si="6"/>
        <v>0</v>
      </c>
      <c r="E75" s="213"/>
      <c r="F75" s="213" t="s">
        <v>29</v>
      </c>
      <c r="G75" s="213">
        <f>SUM(H75:I75)</f>
        <v>0</v>
      </c>
      <c r="H75" s="213"/>
      <c r="I75" s="213" t="s">
        <v>29</v>
      </c>
      <c r="J75" s="213">
        <f>SUM(K75:L75)</f>
        <v>0</v>
      </c>
      <c r="K75" s="213"/>
      <c r="L75" s="213" t="s">
        <v>29</v>
      </c>
    </row>
    <row r="76" spans="1:12" ht="51">
      <c r="A76" s="219" t="s">
        <v>88</v>
      </c>
      <c r="B76" s="29" t="s">
        <v>89</v>
      </c>
      <c r="C76" s="226"/>
      <c r="D76" s="213">
        <f t="shared" si="6"/>
        <v>18980</v>
      </c>
      <c r="E76" s="213">
        <f>18260+720</f>
        <v>18980</v>
      </c>
      <c r="F76" s="213" t="s">
        <v>29</v>
      </c>
      <c r="G76" s="213">
        <f>SUM(H76:I76)</f>
        <v>18980</v>
      </c>
      <c r="H76" s="213">
        <f>18260+720</f>
        <v>18980</v>
      </c>
      <c r="I76" s="213" t="s">
        <v>29</v>
      </c>
      <c r="J76" s="213">
        <f>SUM(K76:L76)</f>
        <v>11113.63</v>
      </c>
      <c r="K76" s="213">
        <v>11113.63</v>
      </c>
      <c r="L76" s="213" t="s">
        <v>29</v>
      </c>
    </row>
    <row r="77" spans="1:12" ht="12.75">
      <c r="A77" s="57" t="s">
        <v>90</v>
      </c>
      <c r="B77" s="29" t="s">
        <v>91</v>
      </c>
      <c r="C77" s="226"/>
      <c r="D77" s="213">
        <f t="shared" si="6"/>
        <v>11461</v>
      </c>
      <c r="E77" s="213">
        <f>11461</f>
        <v>11461</v>
      </c>
      <c r="F77" s="213" t="s">
        <v>29</v>
      </c>
      <c r="G77" s="213">
        <f>SUM(H77:I77)</f>
        <v>11461</v>
      </c>
      <c r="H77" s="213">
        <f>11461</f>
        <v>11461</v>
      </c>
      <c r="I77" s="213" t="s">
        <v>29</v>
      </c>
      <c r="J77" s="213">
        <f>SUM(K77:L77)</f>
        <v>7257.808</v>
      </c>
      <c r="K77" s="213">
        <v>7257.808</v>
      </c>
      <c r="L77" s="213" t="s">
        <v>29</v>
      </c>
    </row>
    <row r="78" spans="1:12" s="28" customFormat="1" ht="51">
      <c r="A78" s="224" t="s">
        <v>92</v>
      </c>
      <c r="B78" s="34" t="s">
        <v>571</v>
      </c>
      <c r="C78" s="228">
        <v>7421</v>
      </c>
      <c r="D78" s="215">
        <f>SUM(D79:D81)</f>
        <v>3416.7</v>
      </c>
      <c r="E78" s="215">
        <f>SUM(E79:E81)</f>
        <v>3416.7</v>
      </c>
      <c r="F78" s="214" t="s">
        <v>29</v>
      </c>
      <c r="G78" s="215">
        <f>SUM(G79:G81)</f>
        <v>3415.2</v>
      </c>
      <c r="H78" s="215">
        <f>SUM(H79:H81)</f>
        <v>3415.2</v>
      </c>
      <c r="I78" s="214" t="s">
        <v>29</v>
      </c>
      <c r="J78" s="215">
        <f>SUM(J79:J81)</f>
        <v>2390.64</v>
      </c>
      <c r="K78" s="215">
        <f>SUM(K79:K81)</f>
        <v>2390.64</v>
      </c>
      <c r="L78" s="214" t="s">
        <v>29</v>
      </c>
    </row>
    <row r="79" spans="1:12" ht="102">
      <c r="A79" s="219" t="s">
        <v>93</v>
      </c>
      <c r="B79" s="29" t="s">
        <v>369</v>
      </c>
      <c r="C79" s="226"/>
      <c r="D79" s="213">
        <f>SUM(E79:F79)</f>
        <v>0</v>
      </c>
      <c r="E79" s="213"/>
      <c r="F79" s="213" t="s">
        <v>29</v>
      </c>
      <c r="G79" s="213">
        <f>SUM(H79:I79)</f>
        <v>0</v>
      </c>
      <c r="H79" s="213"/>
      <c r="I79" s="213" t="s">
        <v>29</v>
      </c>
      <c r="J79" s="213">
        <f>SUM(K79:L79)</f>
        <v>0</v>
      </c>
      <c r="K79" s="213"/>
      <c r="L79" s="213" t="s">
        <v>29</v>
      </c>
    </row>
    <row r="80" spans="1:12" s="28" customFormat="1" ht="63.75">
      <c r="A80" s="219" t="s">
        <v>94</v>
      </c>
      <c r="B80" s="29" t="s">
        <v>95</v>
      </c>
      <c r="C80" s="59"/>
      <c r="D80" s="213">
        <f>SUM(E80:F80)</f>
        <v>3416.7</v>
      </c>
      <c r="E80" s="213">
        <f>3416.7</f>
        <v>3416.7</v>
      </c>
      <c r="F80" s="213" t="s">
        <v>29</v>
      </c>
      <c r="G80" s="213">
        <f>SUM(H80:I80)</f>
        <v>3415.2</v>
      </c>
      <c r="H80" s="213">
        <f>3416.7-1.5</f>
        <v>3415.2</v>
      </c>
      <c r="I80" s="213" t="s">
        <v>29</v>
      </c>
      <c r="J80" s="213">
        <f>SUM(K80:L80)</f>
        <v>2390.64</v>
      </c>
      <c r="K80" s="213">
        <v>2390.64</v>
      </c>
      <c r="L80" s="213" t="s">
        <v>29</v>
      </c>
    </row>
    <row r="81" spans="1:12" s="28" customFormat="1" ht="63.75">
      <c r="A81" s="57" t="s">
        <v>572</v>
      </c>
      <c r="B81" s="29" t="s">
        <v>100</v>
      </c>
      <c r="C81" s="59"/>
      <c r="D81" s="213">
        <f>SUM(E81:F81)</f>
        <v>0</v>
      </c>
      <c r="E81" s="213"/>
      <c r="F81" s="213" t="s">
        <v>29</v>
      </c>
      <c r="G81" s="213">
        <f>SUM(H81:I81)</f>
        <v>0</v>
      </c>
      <c r="H81" s="213"/>
      <c r="I81" s="213" t="s">
        <v>29</v>
      </c>
      <c r="J81" s="213">
        <f>SUM(K81:L81)</f>
        <v>0</v>
      </c>
      <c r="K81" s="213"/>
      <c r="L81" s="213" t="s">
        <v>29</v>
      </c>
    </row>
    <row r="82" spans="1:12" s="28" customFormat="1" ht="26.25" customHeight="1">
      <c r="A82" s="224" t="s">
        <v>96</v>
      </c>
      <c r="B82" s="34" t="s">
        <v>573</v>
      </c>
      <c r="C82" s="228">
        <v>7422</v>
      </c>
      <c r="D82" s="215">
        <f>SUM(D83:D84)</f>
        <v>107164</v>
      </c>
      <c r="E82" s="215">
        <f>SUM(E83:E84)</f>
        <v>107164</v>
      </c>
      <c r="F82" s="214" t="s">
        <v>29</v>
      </c>
      <c r="G82" s="215">
        <f>SUM(G83:G84)</f>
        <v>107164</v>
      </c>
      <c r="H82" s="215">
        <f>SUM(H83:H84)</f>
        <v>107164</v>
      </c>
      <c r="I82" s="214" t="s">
        <v>29</v>
      </c>
      <c r="J82" s="215">
        <f>SUM(J83:J84)</f>
        <v>68379.671</v>
      </c>
      <c r="K82" s="215">
        <f>SUM(K83:K84)</f>
        <v>68379.671</v>
      </c>
      <c r="L82" s="214" t="s">
        <v>29</v>
      </c>
    </row>
    <row r="83" spans="1:12" s="28" customFormat="1" ht="12.75">
      <c r="A83" s="219" t="s">
        <v>97</v>
      </c>
      <c r="B83" s="29" t="s">
        <v>370</v>
      </c>
      <c r="C83" s="229"/>
      <c r="D83" s="213">
        <f>SUM(E83:F83)</f>
        <v>103164</v>
      </c>
      <c r="E83" s="213">
        <f>103164</f>
        <v>103164</v>
      </c>
      <c r="F83" s="213" t="s">
        <v>29</v>
      </c>
      <c r="G83" s="213">
        <f>SUM(H83:I83)</f>
        <v>103164</v>
      </c>
      <c r="H83" s="213">
        <f>103164</f>
        <v>103164</v>
      </c>
      <c r="I83" s="213" t="s">
        <v>29</v>
      </c>
      <c r="J83" s="213">
        <f>SUM(K83:L83)</f>
        <v>63714.866</v>
      </c>
      <c r="K83" s="213">
        <f>595+3732.54+3855+1555+21306.346+23508.815+5906.4+1389.165+1137.5+729.1</f>
        <v>63714.866</v>
      </c>
      <c r="L83" s="213" t="s">
        <v>29</v>
      </c>
    </row>
    <row r="84" spans="1:12" ht="38.25">
      <c r="A84" s="219" t="s">
        <v>98</v>
      </c>
      <c r="B84" s="29" t="s">
        <v>99</v>
      </c>
      <c r="C84" s="59"/>
      <c r="D84" s="213">
        <f>SUM(E84:F84)</f>
        <v>4000</v>
      </c>
      <c r="E84" s="213">
        <f>4000</f>
        <v>4000</v>
      </c>
      <c r="F84" s="213" t="s">
        <v>29</v>
      </c>
      <c r="G84" s="213">
        <f>SUM(H84:I84)</f>
        <v>4000</v>
      </c>
      <c r="H84" s="213">
        <f>4000</f>
        <v>4000</v>
      </c>
      <c r="I84" s="213" t="s">
        <v>29</v>
      </c>
      <c r="J84" s="213">
        <f>SUM(K84:L84)</f>
        <v>4664.805</v>
      </c>
      <c r="K84" s="213">
        <v>4664.805</v>
      </c>
      <c r="L84" s="213" t="s">
        <v>29</v>
      </c>
    </row>
    <row r="85" spans="1:12" s="28" customFormat="1" ht="25.5">
      <c r="A85" s="224" t="s">
        <v>101</v>
      </c>
      <c r="B85" s="34" t="s">
        <v>102</v>
      </c>
      <c r="C85" s="228">
        <v>7431</v>
      </c>
      <c r="D85" s="215">
        <f>SUM(D86:D87)</f>
        <v>1500</v>
      </c>
      <c r="E85" s="215">
        <f>SUM(E86:E87)</f>
        <v>1500</v>
      </c>
      <c r="F85" s="214" t="s">
        <v>29</v>
      </c>
      <c r="G85" s="215">
        <f>SUM(G86:G87)</f>
        <v>1500</v>
      </c>
      <c r="H85" s="215">
        <f>SUM(H86:H87)</f>
        <v>1500</v>
      </c>
      <c r="I85" s="214" t="s">
        <v>29</v>
      </c>
      <c r="J85" s="215">
        <f>SUM(J86:J87)</f>
        <v>200</v>
      </c>
      <c r="K85" s="215">
        <f>SUM(K86:K87)</f>
        <v>200</v>
      </c>
      <c r="L85" s="214" t="s">
        <v>29</v>
      </c>
    </row>
    <row r="86" spans="1:12" ht="48.75" customHeight="1">
      <c r="A86" s="219" t="s">
        <v>103</v>
      </c>
      <c r="B86" s="29" t="s">
        <v>371</v>
      </c>
      <c r="C86" s="226"/>
      <c r="D86" s="213">
        <f>SUM(E86:F86)</f>
        <v>1500</v>
      </c>
      <c r="E86" s="213">
        <f>1500</f>
        <v>1500</v>
      </c>
      <c r="F86" s="213" t="s">
        <v>29</v>
      </c>
      <c r="G86" s="213">
        <f>SUM(H86:I86)</f>
        <v>1500</v>
      </c>
      <c r="H86" s="213">
        <f>1500</f>
        <v>1500</v>
      </c>
      <c r="I86" s="213" t="s">
        <v>29</v>
      </c>
      <c r="J86" s="213">
        <f>SUM(K86:L86)</f>
        <v>200</v>
      </c>
      <c r="K86" s="213">
        <v>200</v>
      </c>
      <c r="L86" s="213" t="s">
        <v>29</v>
      </c>
    </row>
    <row r="87" spans="1:12" s="28" customFormat="1" ht="51">
      <c r="A87" s="219" t="s">
        <v>104</v>
      </c>
      <c r="B87" s="29" t="s">
        <v>105</v>
      </c>
      <c r="C87" s="226"/>
      <c r="D87" s="213">
        <f>SUM(E87:F87)</f>
        <v>0</v>
      </c>
      <c r="E87" s="213"/>
      <c r="F87" s="213" t="s">
        <v>29</v>
      </c>
      <c r="G87" s="213">
        <f>SUM(H87:I87)</f>
        <v>0</v>
      </c>
      <c r="H87" s="213"/>
      <c r="I87" s="213" t="s">
        <v>29</v>
      </c>
      <c r="J87" s="213">
        <f>SUM(K87:L87)</f>
        <v>0</v>
      </c>
      <c r="K87" s="213"/>
      <c r="L87" s="213" t="s">
        <v>29</v>
      </c>
    </row>
    <row r="88" spans="1:12" s="28" customFormat="1" ht="26.25" customHeight="1">
      <c r="A88" s="224" t="s">
        <v>106</v>
      </c>
      <c r="B88" s="34" t="s">
        <v>107</v>
      </c>
      <c r="C88" s="228">
        <v>7441</v>
      </c>
      <c r="D88" s="215">
        <f>SUM(D89:D90)</f>
        <v>0</v>
      </c>
      <c r="E88" s="215">
        <f>SUM(E89:E90)</f>
        <v>0</v>
      </c>
      <c r="F88" s="214" t="s">
        <v>29</v>
      </c>
      <c r="G88" s="215">
        <f>SUM(G89:G90)</f>
        <v>0</v>
      </c>
      <c r="H88" s="215">
        <f>SUM(H89:H90)</f>
        <v>0</v>
      </c>
      <c r="I88" s="214" t="s">
        <v>29</v>
      </c>
      <c r="J88" s="215">
        <f>SUM(J89:J90)</f>
        <v>0</v>
      </c>
      <c r="K88" s="215">
        <f>SUM(K89:K90)</f>
        <v>0</v>
      </c>
      <c r="L88" s="214" t="s">
        <v>29</v>
      </c>
    </row>
    <row r="89" spans="1:12" s="28" customFormat="1" ht="116.25" customHeight="1">
      <c r="A89" s="57" t="s">
        <v>108</v>
      </c>
      <c r="B89" s="29" t="s">
        <v>372</v>
      </c>
      <c r="C89" s="226"/>
      <c r="D89" s="213">
        <f>SUM(E89:F89)</f>
        <v>0</v>
      </c>
      <c r="E89" s="213"/>
      <c r="F89" s="213" t="s">
        <v>29</v>
      </c>
      <c r="G89" s="213">
        <f>SUM(H89:I89)</f>
        <v>0</v>
      </c>
      <c r="H89" s="213"/>
      <c r="I89" s="213" t="s">
        <v>29</v>
      </c>
      <c r="J89" s="213">
        <f>SUM(K89:L89)</f>
        <v>0</v>
      </c>
      <c r="K89" s="213"/>
      <c r="L89" s="213" t="s">
        <v>29</v>
      </c>
    </row>
    <row r="90" spans="1:12" s="28" customFormat="1" ht="102">
      <c r="A90" s="57" t="s">
        <v>574</v>
      </c>
      <c r="B90" s="29" t="s">
        <v>348</v>
      </c>
      <c r="C90" s="226"/>
      <c r="D90" s="213">
        <f>SUM(E90:F90)</f>
        <v>0</v>
      </c>
      <c r="E90" s="213"/>
      <c r="F90" s="213" t="s">
        <v>29</v>
      </c>
      <c r="G90" s="213">
        <f>SUM(H90:I90)</f>
        <v>0</v>
      </c>
      <c r="H90" s="213"/>
      <c r="I90" s="213" t="s">
        <v>29</v>
      </c>
      <c r="J90" s="213">
        <f>SUM(K90:L90)</f>
        <v>0</v>
      </c>
      <c r="K90" s="213"/>
      <c r="L90" s="213" t="s">
        <v>29</v>
      </c>
    </row>
    <row r="91" spans="1:12" s="28" customFormat="1" ht="26.25" customHeight="1">
      <c r="A91" s="224" t="s">
        <v>109</v>
      </c>
      <c r="B91" s="34" t="s">
        <v>110</v>
      </c>
      <c r="C91" s="228">
        <v>7442</v>
      </c>
      <c r="D91" s="215">
        <f>SUM(D92:D93)</f>
        <v>0</v>
      </c>
      <c r="E91" s="214" t="s">
        <v>29</v>
      </c>
      <c r="F91" s="215">
        <f>SUM(F92:F93)</f>
        <v>0</v>
      </c>
      <c r="G91" s="215">
        <f>SUM(G92:G93)</f>
        <v>0</v>
      </c>
      <c r="H91" s="214" t="s">
        <v>29</v>
      </c>
      <c r="I91" s="215">
        <f>SUM(I92:I93)</f>
        <v>0</v>
      </c>
      <c r="J91" s="215">
        <f>SUM(J92:J93)</f>
        <v>0</v>
      </c>
      <c r="K91" s="214" t="s">
        <v>29</v>
      </c>
      <c r="L91" s="215">
        <f>SUM(L92:L93)</f>
        <v>0</v>
      </c>
    </row>
    <row r="92" spans="1:12" ht="112.5" customHeight="1">
      <c r="A92" s="219" t="s">
        <v>111</v>
      </c>
      <c r="B92" s="35" t="s">
        <v>373</v>
      </c>
      <c r="C92" s="226"/>
      <c r="D92" s="213">
        <f>SUM(E92:F92)</f>
        <v>0</v>
      </c>
      <c r="E92" s="213" t="s">
        <v>29</v>
      </c>
      <c r="F92" s="213"/>
      <c r="G92" s="213">
        <f>SUM(H92:I92)</f>
        <v>0</v>
      </c>
      <c r="H92" s="213" t="s">
        <v>29</v>
      </c>
      <c r="I92" s="213"/>
      <c r="J92" s="213">
        <f>SUM(K92:L92)</f>
        <v>0</v>
      </c>
      <c r="K92" s="213" t="s">
        <v>29</v>
      </c>
      <c r="L92" s="213"/>
    </row>
    <row r="93" spans="1:12" s="28" customFormat="1" ht="114.75">
      <c r="A93" s="219" t="s">
        <v>112</v>
      </c>
      <c r="B93" s="29" t="s">
        <v>349</v>
      </c>
      <c r="C93" s="226"/>
      <c r="D93" s="213">
        <f>SUM(E93:F93)</f>
        <v>0</v>
      </c>
      <c r="E93" s="213" t="s">
        <v>29</v>
      </c>
      <c r="F93" s="213"/>
      <c r="G93" s="213">
        <f>SUM(H93:I93)</f>
        <v>0</v>
      </c>
      <c r="H93" s="213" t="s">
        <v>29</v>
      </c>
      <c r="I93" s="213"/>
      <c r="J93" s="213">
        <f>SUM(K93:L93)</f>
        <v>0</v>
      </c>
      <c r="K93" s="213" t="s">
        <v>29</v>
      </c>
      <c r="L93" s="213"/>
    </row>
    <row r="94" spans="1:12" s="28" customFormat="1" ht="25.5">
      <c r="A94" s="293" t="s">
        <v>113</v>
      </c>
      <c r="B94" s="34" t="s">
        <v>374</v>
      </c>
      <c r="C94" s="228">
        <v>7452</v>
      </c>
      <c r="D94" s="215">
        <f aca="true" t="shared" si="7" ref="D94:I94">SUM(D95:D97)</f>
        <v>0</v>
      </c>
      <c r="E94" s="215">
        <f t="shared" si="7"/>
        <v>0</v>
      </c>
      <c r="F94" s="215">
        <f t="shared" si="7"/>
        <v>0</v>
      </c>
      <c r="G94" s="215">
        <f t="shared" si="7"/>
        <v>0</v>
      </c>
      <c r="H94" s="215">
        <f t="shared" si="7"/>
        <v>0</v>
      </c>
      <c r="I94" s="215">
        <f t="shared" si="7"/>
        <v>0</v>
      </c>
      <c r="J94" s="215">
        <f>SUM(J95:J97)</f>
        <v>0</v>
      </c>
      <c r="K94" s="215">
        <f>SUM(K95:K97)</f>
        <v>0</v>
      </c>
      <c r="L94" s="215">
        <f>SUM(L95:L97)</f>
        <v>0</v>
      </c>
    </row>
    <row r="95" spans="1:12" ht="28.5" customHeight="1">
      <c r="A95" s="219" t="s">
        <v>114</v>
      </c>
      <c r="B95" s="29" t="s">
        <v>375</v>
      </c>
      <c r="C95" s="226"/>
      <c r="D95" s="213">
        <f>SUM(E95:F95)</f>
        <v>0</v>
      </c>
      <c r="E95" s="213" t="s">
        <v>29</v>
      </c>
      <c r="F95" s="213"/>
      <c r="G95" s="213">
        <f>SUM(H95:I95)</f>
        <v>0</v>
      </c>
      <c r="H95" s="213" t="s">
        <v>29</v>
      </c>
      <c r="I95" s="213"/>
      <c r="J95" s="213">
        <f>SUM(K95:L95)</f>
        <v>0</v>
      </c>
      <c r="K95" s="213" t="s">
        <v>29</v>
      </c>
      <c r="L95" s="213"/>
    </row>
    <row r="96" spans="1:12" ht="19.5" customHeight="1">
      <c r="A96" s="219" t="s">
        <v>115</v>
      </c>
      <c r="B96" s="29" t="s">
        <v>116</v>
      </c>
      <c r="C96" s="226"/>
      <c r="D96" s="213"/>
      <c r="E96" s="213" t="s">
        <v>29</v>
      </c>
      <c r="F96" s="213"/>
      <c r="G96" s="213"/>
      <c r="H96" s="213" t="s">
        <v>29</v>
      </c>
      <c r="I96" s="213"/>
      <c r="J96" s="213"/>
      <c r="K96" s="213" t="s">
        <v>29</v>
      </c>
      <c r="L96" s="213"/>
    </row>
    <row r="97" spans="1:12" ht="33" customHeight="1">
      <c r="A97" s="219" t="s">
        <v>117</v>
      </c>
      <c r="B97" s="29" t="s">
        <v>118</v>
      </c>
      <c r="C97" s="226"/>
      <c r="D97" s="213">
        <f>SUM(E97:F97)</f>
        <v>0</v>
      </c>
      <c r="E97" s="216"/>
      <c r="F97" s="216"/>
      <c r="G97" s="213">
        <f>SUM(H97:I97)</f>
        <v>0</v>
      </c>
      <c r="H97" s="216"/>
      <c r="I97" s="216"/>
      <c r="J97" s="213">
        <f>SUM(K97:L97)</f>
        <v>0</v>
      </c>
      <c r="K97" s="216"/>
      <c r="L97" s="216"/>
    </row>
    <row r="98" spans="2:12" ht="12.75">
      <c r="B98" s="1"/>
      <c r="D98" s="1"/>
      <c r="E98" s="1"/>
      <c r="F98" s="1"/>
      <c r="G98" s="1"/>
      <c r="H98" s="1"/>
      <c r="I98" s="1"/>
      <c r="J98" s="1"/>
      <c r="K98" s="1"/>
      <c r="L98" s="1"/>
    </row>
    <row r="99" spans="1:5" s="6" customFormat="1" ht="27" customHeight="1">
      <c r="A99" s="332" t="s">
        <v>119</v>
      </c>
      <c r="B99" s="333"/>
      <c r="C99" s="333"/>
      <c r="D99" s="333"/>
      <c r="E99" s="333"/>
    </row>
    <row r="100" spans="2:12" ht="12.75">
      <c r="B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D135" s="1"/>
      <c r="E135" s="1"/>
      <c r="F135" s="1"/>
      <c r="G135" s="1"/>
      <c r="H135" s="1"/>
      <c r="I135" s="1"/>
      <c r="J135" s="1"/>
      <c r="K135" s="1"/>
      <c r="L135" s="1"/>
    </row>
  </sheetData>
  <sheetProtection/>
  <protectedRanges>
    <protectedRange sqref="E49 K49 H49" name="Range7_1"/>
    <protectedRange sqref="F95:F97 E86:E87 E97 E89:E90 F92:F93 E83:E84 E81 L95:L97 K86:K87 K97 K89:K90 L92:L93 K83:K84 K81 I95:I97 H86:H87 H97 H89:H90 I92:I93 H83:H84 H81" name="Range4_1"/>
    <protectedRange sqref="E53 E28:E36 E39:E40 F55 E43:E46 F51 E57 K53 K28:K36 K39:K40 L55 K43:K46 L51 K57 H53 H28:H36 H39:H40 I55 H43:H46 I51 H57" name="Range2_1"/>
    <protectedRange sqref="E19:E25 E12:E13 E15 K19:K25 K12:K13 K15 H19:H25 H12:H13 H15" name="Range1_1"/>
    <protectedRange sqref="E74:E77 E59:E63 F65:F67 E79:E80 F70 E72 K74:K77 K59:K63 L65:L67 K79:K80 L70 K72 H74:H77 H59:H63 I65:I67 H79:H80 I70 H72" name="Range3_1"/>
    <protectedRange sqref="A1:L3" name="Range5_1"/>
    <protectedRange sqref="E26:E27 K26:K27 H26:H27" name="Range6_1"/>
  </protectedRanges>
  <mergeCells count="13">
    <mergeCell ref="A1:L1"/>
    <mergeCell ref="A2:K2"/>
    <mergeCell ref="A3:L3"/>
    <mergeCell ref="D5:F5"/>
    <mergeCell ref="G5:I5"/>
    <mergeCell ref="J5:L5"/>
    <mergeCell ref="G6:G7"/>
    <mergeCell ref="J6:J7"/>
    <mergeCell ref="A99:E99"/>
    <mergeCell ref="A6:A7"/>
    <mergeCell ref="B6:B7"/>
    <mergeCell ref="C6:C7"/>
    <mergeCell ref="D6:D7"/>
  </mergeCells>
  <printOptions/>
  <pageMargins left="0" right="0" top="0" bottom="0" header="0.511811023622047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7"/>
  <sheetViews>
    <sheetView zoomScalePageLayoutView="0" workbookViewId="0" topLeftCell="A1">
      <selection activeCell="O1" sqref="O1:P16384"/>
    </sheetView>
  </sheetViews>
  <sheetFormatPr defaultColWidth="9.140625" defaultRowHeight="12.75"/>
  <cols>
    <col min="1" max="1" width="4.57421875" style="62" customWidth="1"/>
    <col min="2" max="2" width="3.7109375" style="71" customWidth="1"/>
    <col min="3" max="3" width="3.7109375" style="72" customWidth="1"/>
    <col min="4" max="4" width="3.7109375" style="73" customWidth="1"/>
    <col min="5" max="5" width="47.7109375" style="66" customWidth="1"/>
    <col min="6" max="6" width="9.8515625" style="39" customWidth="1"/>
    <col min="7" max="7" width="7.57421875" style="39" customWidth="1"/>
    <col min="8" max="8" width="8.421875" style="39" customWidth="1"/>
    <col min="9" max="9" width="9.28125" style="39" customWidth="1"/>
    <col min="10" max="10" width="9.57421875" style="39" customWidth="1"/>
    <col min="11" max="11" width="9.28125" style="39" customWidth="1"/>
    <col min="12" max="12" width="9.57421875" style="39" bestFit="1" customWidth="1"/>
    <col min="13" max="13" width="10.140625" style="39" customWidth="1"/>
    <col min="14" max="14" width="9.57421875" style="39" customWidth="1"/>
    <col min="15" max="15" width="13.28125" style="39" bestFit="1" customWidth="1"/>
    <col min="16" max="16384" width="9.140625" style="39" customWidth="1"/>
  </cols>
  <sheetData>
    <row r="1" spans="1:14" s="11" customFormat="1" ht="15">
      <c r="A1" s="361" t="s">
        <v>12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"/>
      <c r="N1" s="36"/>
    </row>
    <row r="2" spans="1:14" s="11" customFormat="1" ht="15">
      <c r="A2" s="362" t="s">
        <v>120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"/>
      <c r="N2" s="36"/>
    </row>
    <row r="3" spans="1:14" s="11" customFormat="1" ht="12.75">
      <c r="A3" s="363" t="s">
        <v>121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"/>
      <c r="N3" s="36"/>
    </row>
    <row r="4" spans="1:14" s="11" customFormat="1" ht="12.75">
      <c r="A4" s="364" t="s">
        <v>760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"/>
      <c r="N4" s="38"/>
    </row>
    <row r="5" spans="1:14" s="11" customFormat="1" ht="13.5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6"/>
      <c r="N5" s="36"/>
    </row>
    <row r="6" spans="1:14" ht="45.75" customHeight="1" thickBot="1">
      <c r="A6" s="352" t="s">
        <v>122</v>
      </c>
      <c r="B6" s="355" t="s">
        <v>123</v>
      </c>
      <c r="C6" s="358" t="s">
        <v>124</v>
      </c>
      <c r="D6" s="358" t="s">
        <v>125</v>
      </c>
      <c r="E6" s="343" t="s">
        <v>126</v>
      </c>
      <c r="F6" s="346" t="s">
        <v>14</v>
      </c>
      <c r="G6" s="347"/>
      <c r="H6" s="348"/>
      <c r="I6" s="346" t="s">
        <v>15</v>
      </c>
      <c r="J6" s="347"/>
      <c r="K6" s="348"/>
      <c r="L6" s="349" t="s">
        <v>16</v>
      </c>
      <c r="M6" s="350"/>
      <c r="N6" s="351"/>
    </row>
    <row r="7" spans="1:14" s="44" customFormat="1" ht="26.25" customHeight="1">
      <c r="A7" s="353"/>
      <c r="B7" s="356"/>
      <c r="C7" s="359"/>
      <c r="D7" s="359"/>
      <c r="E7" s="344"/>
      <c r="F7" s="40" t="s">
        <v>127</v>
      </c>
      <c r="G7" s="41" t="s">
        <v>128</v>
      </c>
      <c r="H7" s="42"/>
      <c r="I7" s="40" t="s">
        <v>127</v>
      </c>
      <c r="J7" s="41" t="s">
        <v>128</v>
      </c>
      <c r="K7" s="42"/>
      <c r="L7" s="43" t="s">
        <v>127</v>
      </c>
      <c r="M7" s="41" t="s">
        <v>128</v>
      </c>
      <c r="N7" s="42"/>
    </row>
    <row r="8" spans="1:14" s="48" customFormat="1" ht="42.75" customHeight="1" thickBot="1">
      <c r="A8" s="354"/>
      <c r="B8" s="357"/>
      <c r="C8" s="360"/>
      <c r="D8" s="360"/>
      <c r="E8" s="345"/>
      <c r="F8" s="45" t="s">
        <v>129</v>
      </c>
      <c r="G8" s="46" t="s">
        <v>130</v>
      </c>
      <c r="H8" s="47" t="s">
        <v>131</v>
      </c>
      <c r="I8" s="45" t="s">
        <v>132</v>
      </c>
      <c r="J8" s="46" t="s">
        <v>130</v>
      </c>
      <c r="K8" s="47" t="s">
        <v>131</v>
      </c>
      <c r="L8" s="45" t="s">
        <v>133</v>
      </c>
      <c r="M8" s="46" t="s">
        <v>130</v>
      </c>
      <c r="N8" s="47" t="s">
        <v>131</v>
      </c>
    </row>
    <row r="9" spans="1:14" s="50" customFormat="1" ht="15.75" thickBot="1">
      <c r="A9" s="49">
        <v>1</v>
      </c>
      <c r="B9" s="294">
        <v>2</v>
      </c>
      <c r="C9" s="294">
        <v>3</v>
      </c>
      <c r="D9" s="295">
        <v>4</v>
      </c>
      <c r="E9" s="296">
        <v>5</v>
      </c>
      <c r="F9" s="230">
        <v>6</v>
      </c>
      <c r="G9" s="231">
        <v>7</v>
      </c>
      <c r="H9" s="232">
        <v>8</v>
      </c>
      <c r="I9" s="230">
        <v>9</v>
      </c>
      <c r="J9" s="231">
        <v>10</v>
      </c>
      <c r="K9" s="232">
        <v>11</v>
      </c>
      <c r="L9" s="230">
        <v>12</v>
      </c>
      <c r="M9" s="231">
        <v>13</v>
      </c>
      <c r="N9" s="232">
        <v>14</v>
      </c>
    </row>
    <row r="10" spans="1:15" s="52" customFormat="1" ht="32.25" thickBot="1">
      <c r="A10" s="51">
        <v>2000</v>
      </c>
      <c r="B10" s="250" t="s">
        <v>134</v>
      </c>
      <c r="C10" s="297" t="s">
        <v>29</v>
      </c>
      <c r="D10" s="297" t="s">
        <v>29</v>
      </c>
      <c r="E10" s="298" t="s">
        <v>376</v>
      </c>
      <c r="F10" s="247">
        <f aca="true" t="shared" si="0" ref="F10:K10">SUM(F11,F47,F64,F90,F143,F163,F183,F212,F242,F273,F305)</f>
        <v>760633</v>
      </c>
      <c r="G10" s="247">
        <f t="shared" si="0"/>
        <v>760633</v>
      </c>
      <c r="H10" s="247">
        <f t="shared" si="0"/>
        <v>0</v>
      </c>
      <c r="I10" s="247">
        <f t="shared" si="0"/>
        <v>766567.8729999999</v>
      </c>
      <c r="J10" s="247">
        <f t="shared" si="0"/>
        <v>759130.287</v>
      </c>
      <c r="K10" s="247">
        <f t="shared" si="0"/>
        <v>7437.586000000007</v>
      </c>
      <c r="L10" s="247">
        <f>SUM(L11,L47,L64,L90,L143,L163,L183,L212,L242,L273,L305)</f>
        <v>447169.848</v>
      </c>
      <c r="M10" s="247">
        <f>SUM(M11,M47,M64,M90,M143,M163,M183,M212,M242,M273,M305)</f>
        <v>482889.89300000004</v>
      </c>
      <c r="N10" s="247">
        <f>SUM(N11,N47,N64,N90,N143,N163,N183,N212,N242,N273,N305)</f>
        <v>-35720.04500000001</v>
      </c>
      <c r="O10" s="307"/>
    </row>
    <row r="11" spans="1:15" s="55" customFormat="1" ht="49.5" customHeight="1">
      <c r="A11" s="53">
        <v>2100</v>
      </c>
      <c r="B11" s="57" t="s">
        <v>135</v>
      </c>
      <c r="C11" s="57" t="s">
        <v>136</v>
      </c>
      <c r="D11" s="57" t="s">
        <v>136</v>
      </c>
      <c r="E11" s="298" t="s">
        <v>377</v>
      </c>
      <c r="F11" s="234">
        <f aca="true" t="shared" si="1" ref="F11:K11">SUM(F13,F18,F22,F27,F30,F33,F36,F39)</f>
        <v>193253.3</v>
      </c>
      <c r="G11" s="234">
        <f t="shared" si="1"/>
        <v>191253.3</v>
      </c>
      <c r="H11" s="234">
        <f t="shared" si="1"/>
        <v>2000</v>
      </c>
      <c r="I11" s="234">
        <f t="shared" si="1"/>
        <v>216037.837</v>
      </c>
      <c r="J11" s="234">
        <f t="shared" si="1"/>
        <v>196077.837</v>
      </c>
      <c r="K11" s="234">
        <f t="shared" si="1"/>
        <v>19960</v>
      </c>
      <c r="L11" s="234">
        <f>SUM(L13,L18,L22,L27,L30,L33,L36,L39)</f>
        <v>145227.516</v>
      </c>
      <c r="M11" s="234">
        <f>SUM(M13,M18,M22,M27,M30,M33,M36,M39)</f>
        <v>126923.138</v>
      </c>
      <c r="N11" s="234">
        <f>SUM(N13,N18,N22,N27,N30,N33,N36,N39)</f>
        <v>18304.378</v>
      </c>
      <c r="O11" s="301"/>
    </row>
    <row r="12" spans="1:14" ht="18" customHeight="1">
      <c r="A12" s="53"/>
      <c r="B12" s="57"/>
      <c r="C12" s="57"/>
      <c r="D12" s="57"/>
      <c r="E12" s="298" t="s">
        <v>21</v>
      </c>
      <c r="F12" s="234"/>
      <c r="G12" s="234"/>
      <c r="H12" s="234"/>
      <c r="I12" s="234"/>
      <c r="J12" s="234"/>
      <c r="K12" s="234"/>
      <c r="L12" s="234"/>
      <c r="M12" s="234"/>
      <c r="N12" s="234"/>
    </row>
    <row r="13" spans="1:15" s="58" customFormat="1" ht="40.5" customHeight="1">
      <c r="A13" s="56">
        <v>2110</v>
      </c>
      <c r="B13" s="57" t="s">
        <v>135</v>
      </c>
      <c r="C13" s="57" t="s">
        <v>137</v>
      </c>
      <c r="D13" s="57" t="s">
        <v>136</v>
      </c>
      <c r="E13" s="298" t="s">
        <v>138</v>
      </c>
      <c r="F13" s="234">
        <f aca="true" t="shared" si="2" ref="F13:K13">SUM(F15:F17)</f>
        <v>186692</v>
      </c>
      <c r="G13" s="234">
        <f t="shared" si="2"/>
        <v>184692</v>
      </c>
      <c r="H13" s="234">
        <f t="shared" si="2"/>
        <v>2000</v>
      </c>
      <c r="I13" s="234">
        <f t="shared" si="2"/>
        <v>203078.037</v>
      </c>
      <c r="J13" s="234">
        <f t="shared" si="2"/>
        <v>183118.037</v>
      </c>
      <c r="K13" s="234">
        <f t="shared" si="2"/>
        <v>19960</v>
      </c>
      <c r="L13" s="234">
        <f>SUM(L15:L17)</f>
        <v>137164.53100000002</v>
      </c>
      <c r="M13" s="234">
        <f>SUM(M15:M17)</f>
        <v>118860.153</v>
      </c>
      <c r="N13" s="234">
        <f>SUM(N15:N17)</f>
        <v>18304.378</v>
      </c>
      <c r="O13" s="300"/>
    </row>
    <row r="14" spans="1:14" s="58" customFormat="1" ht="12" customHeight="1">
      <c r="A14" s="56"/>
      <c r="B14" s="57"/>
      <c r="C14" s="57"/>
      <c r="D14" s="57"/>
      <c r="E14" s="298" t="s">
        <v>139</v>
      </c>
      <c r="F14" s="234"/>
      <c r="G14" s="234"/>
      <c r="H14" s="234"/>
      <c r="I14" s="234"/>
      <c r="J14" s="234"/>
      <c r="K14" s="234"/>
      <c r="L14" s="234"/>
      <c r="M14" s="234"/>
      <c r="N14" s="234"/>
    </row>
    <row r="15" spans="1:19" ht="19.5" customHeight="1">
      <c r="A15" s="56">
        <v>2111</v>
      </c>
      <c r="B15" s="57" t="s">
        <v>135</v>
      </c>
      <c r="C15" s="57" t="s">
        <v>137</v>
      </c>
      <c r="D15" s="57" t="s">
        <v>137</v>
      </c>
      <c r="E15" s="298" t="s">
        <v>140</v>
      </c>
      <c r="F15" s="234">
        <f>SUM(G15:H15)</f>
        <v>186692</v>
      </c>
      <c r="G15" s="234">
        <f>184692</f>
        <v>184692</v>
      </c>
      <c r="H15" s="234">
        <f>2000</f>
        <v>2000</v>
      </c>
      <c r="I15" s="234">
        <f>SUM(J15:K15)</f>
        <v>203078.037</v>
      </c>
      <c r="J15" s="234">
        <v>183118.037</v>
      </c>
      <c r="K15" s="234">
        <f>2000+400+560+17000</f>
        <v>19960</v>
      </c>
      <c r="L15" s="234">
        <f>SUM(M15:N15)</f>
        <v>137164.53100000002</v>
      </c>
      <c r="M15" s="234">
        <v>118860.153</v>
      </c>
      <c r="N15" s="234">
        <f>16771.378+973+560</f>
        <v>18304.378</v>
      </c>
      <c r="S15" s="308">
        <f>M15-14000.253</f>
        <v>104859.90000000001</v>
      </c>
    </row>
    <row r="16" spans="1:14" ht="16.5" customHeight="1">
      <c r="A16" s="56">
        <v>2112</v>
      </c>
      <c r="B16" s="57" t="s">
        <v>135</v>
      </c>
      <c r="C16" s="57" t="s">
        <v>137</v>
      </c>
      <c r="D16" s="57" t="s">
        <v>141</v>
      </c>
      <c r="E16" s="298" t="s">
        <v>142</v>
      </c>
      <c r="F16" s="234">
        <f>SUM(G16:H16)</f>
        <v>0</v>
      </c>
      <c r="G16" s="234"/>
      <c r="H16" s="234"/>
      <c r="I16" s="234">
        <f>SUM(J16:K16)</f>
        <v>0</v>
      </c>
      <c r="J16" s="234"/>
      <c r="K16" s="234"/>
      <c r="L16" s="234">
        <f>SUM(M16:N16)</f>
        <v>0</v>
      </c>
      <c r="M16" s="234"/>
      <c r="N16" s="234"/>
    </row>
    <row r="17" spans="1:14" ht="15" customHeight="1">
      <c r="A17" s="56">
        <v>2113</v>
      </c>
      <c r="B17" s="57" t="s">
        <v>135</v>
      </c>
      <c r="C17" s="57" t="s">
        <v>137</v>
      </c>
      <c r="D17" s="57" t="s">
        <v>143</v>
      </c>
      <c r="E17" s="298" t="s">
        <v>144</v>
      </c>
      <c r="F17" s="234">
        <f>SUM(G17:H17)</f>
        <v>0</v>
      </c>
      <c r="G17" s="234"/>
      <c r="H17" s="234"/>
      <c r="I17" s="234">
        <f>SUM(J17:K17)</f>
        <v>0</v>
      </c>
      <c r="J17" s="234"/>
      <c r="K17" s="234"/>
      <c r="L17" s="234">
        <f>SUM(M17:N17)</f>
        <v>0</v>
      </c>
      <c r="M17" s="234"/>
      <c r="N17" s="234"/>
    </row>
    <row r="18" spans="1:14" ht="15" customHeight="1">
      <c r="A18" s="56">
        <v>2120</v>
      </c>
      <c r="B18" s="57" t="s">
        <v>135</v>
      </c>
      <c r="C18" s="57" t="s">
        <v>141</v>
      </c>
      <c r="D18" s="57" t="s">
        <v>136</v>
      </c>
      <c r="E18" s="298" t="s">
        <v>145</v>
      </c>
      <c r="F18" s="234">
        <f aca="true" t="shared" si="3" ref="F18:K18">SUM(F20:F21)</f>
        <v>0</v>
      </c>
      <c r="G18" s="234">
        <f t="shared" si="3"/>
        <v>0</v>
      </c>
      <c r="H18" s="234">
        <f t="shared" si="3"/>
        <v>0</v>
      </c>
      <c r="I18" s="234">
        <f t="shared" si="3"/>
        <v>0</v>
      </c>
      <c r="J18" s="234">
        <f t="shared" si="3"/>
        <v>0</v>
      </c>
      <c r="K18" s="234">
        <f t="shared" si="3"/>
        <v>0</v>
      </c>
      <c r="L18" s="234">
        <f>SUM(L20:L21)</f>
        <v>0</v>
      </c>
      <c r="M18" s="234">
        <f>SUM(M20:M21)</f>
        <v>0</v>
      </c>
      <c r="N18" s="234">
        <f>SUM(N20:N21)</f>
        <v>0</v>
      </c>
    </row>
    <row r="19" spans="1:14" s="58" customFormat="1" ht="12" customHeight="1">
      <c r="A19" s="56"/>
      <c r="B19" s="57"/>
      <c r="C19" s="57"/>
      <c r="D19" s="57"/>
      <c r="E19" s="298" t="s">
        <v>139</v>
      </c>
      <c r="F19" s="234"/>
      <c r="G19" s="234"/>
      <c r="H19" s="234"/>
      <c r="I19" s="234"/>
      <c r="J19" s="234"/>
      <c r="K19" s="234"/>
      <c r="L19" s="234"/>
      <c r="M19" s="234"/>
      <c r="N19" s="234"/>
    </row>
    <row r="20" spans="1:14" ht="10.5" customHeight="1">
      <c r="A20" s="56">
        <v>2121</v>
      </c>
      <c r="B20" s="57" t="s">
        <v>135</v>
      </c>
      <c r="C20" s="57" t="s">
        <v>141</v>
      </c>
      <c r="D20" s="57" t="s">
        <v>137</v>
      </c>
      <c r="E20" s="298" t="s">
        <v>146</v>
      </c>
      <c r="F20" s="234">
        <f>SUM(G20:H20)</f>
        <v>0</v>
      </c>
      <c r="G20" s="234"/>
      <c r="H20" s="234"/>
      <c r="I20" s="234">
        <f>SUM(J20:K20)</f>
        <v>0</v>
      </c>
      <c r="J20" s="234"/>
      <c r="K20" s="234"/>
      <c r="L20" s="234">
        <f>SUM(M20:N20)</f>
        <v>0</v>
      </c>
      <c r="M20" s="234"/>
      <c r="N20" s="234"/>
    </row>
    <row r="21" spans="1:14" ht="24.75" customHeight="1">
      <c r="A21" s="56">
        <v>2122</v>
      </c>
      <c r="B21" s="57" t="s">
        <v>135</v>
      </c>
      <c r="C21" s="57" t="s">
        <v>141</v>
      </c>
      <c r="D21" s="57" t="s">
        <v>141</v>
      </c>
      <c r="E21" s="298" t="s">
        <v>147</v>
      </c>
      <c r="F21" s="234">
        <f>SUM(G21:H21)</f>
        <v>0</v>
      </c>
      <c r="G21" s="234"/>
      <c r="H21" s="234"/>
      <c r="I21" s="234">
        <f>SUM(J21:K21)</f>
        <v>0</v>
      </c>
      <c r="J21" s="234"/>
      <c r="K21" s="234"/>
      <c r="L21" s="234">
        <f>SUM(M21:N21)</f>
        <v>0</v>
      </c>
      <c r="M21" s="234"/>
      <c r="N21" s="234"/>
    </row>
    <row r="22" spans="1:14" ht="14.25" customHeight="1">
      <c r="A22" s="56">
        <v>2130</v>
      </c>
      <c r="B22" s="57" t="s">
        <v>135</v>
      </c>
      <c r="C22" s="57" t="s">
        <v>143</v>
      </c>
      <c r="D22" s="57" t="s">
        <v>136</v>
      </c>
      <c r="E22" s="298" t="s">
        <v>148</v>
      </c>
      <c r="F22" s="234">
        <f aca="true" t="shared" si="4" ref="F22:K22">SUM(F24:F26)</f>
        <v>4170.3</v>
      </c>
      <c r="G22" s="234">
        <f t="shared" si="4"/>
        <v>4170.3</v>
      </c>
      <c r="H22" s="234">
        <f t="shared" si="4"/>
        <v>0</v>
      </c>
      <c r="I22" s="234">
        <f t="shared" si="4"/>
        <v>4168.8</v>
      </c>
      <c r="J22" s="234">
        <f t="shared" si="4"/>
        <v>4168.8</v>
      </c>
      <c r="K22" s="234">
        <f t="shared" si="4"/>
        <v>0</v>
      </c>
      <c r="L22" s="234">
        <f>SUM(L24:L26)</f>
        <v>2596.544</v>
      </c>
      <c r="M22" s="234">
        <f>SUM(M24:M26)</f>
        <v>2596.544</v>
      </c>
      <c r="N22" s="234">
        <f>SUM(N24:N26)</f>
        <v>0</v>
      </c>
    </row>
    <row r="23" spans="1:14" s="58" customFormat="1" ht="10.5" customHeight="1">
      <c r="A23" s="56"/>
      <c r="B23" s="57"/>
      <c r="C23" s="57"/>
      <c r="D23" s="57"/>
      <c r="E23" s="298" t="s">
        <v>139</v>
      </c>
      <c r="F23" s="234"/>
      <c r="G23" s="234"/>
      <c r="H23" s="234"/>
      <c r="I23" s="234"/>
      <c r="J23" s="234"/>
      <c r="K23" s="234"/>
      <c r="L23" s="234"/>
      <c r="M23" s="234"/>
      <c r="N23" s="234"/>
    </row>
    <row r="24" spans="1:14" ht="31.5" customHeight="1">
      <c r="A24" s="56">
        <v>2131</v>
      </c>
      <c r="B24" s="57" t="s">
        <v>135</v>
      </c>
      <c r="C24" s="57" t="s">
        <v>143</v>
      </c>
      <c r="D24" s="57" t="s">
        <v>137</v>
      </c>
      <c r="E24" s="298" t="s">
        <v>149</v>
      </c>
      <c r="F24" s="234">
        <f>SUM(G24:H24)</f>
        <v>0</v>
      </c>
      <c r="G24" s="234"/>
      <c r="H24" s="234"/>
      <c r="I24" s="234">
        <f>SUM(J24:K24)</f>
        <v>0</v>
      </c>
      <c r="J24" s="234"/>
      <c r="K24" s="234"/>
      <c r="L24" s="234">
        <f>SUM(M24:N24)</f>
        <v>0</v>
      </c>
      <c r="M24" s="234"/>
      <c r="N24" s="234"/>
    </row>
    <row r="25" spans="1:14" ht="14.25" customHeight="1">
      <c r="A25" s="56">
        <v>2132</v>
      </c>
      <c r="B25" s="57" t="s">
        <v>135</v>
      </c>
      <c r="C25" s="57">
        <v>3</v>
      </c>
      <c r="D25" s="57">
        <v>2</v>
      </c>
      <c r="E25" s="298" t="s">
        <v>150</v>
      </c>
      <c r="F25" s="234">
        <f>SUM(G25:H25)</f>
        <v>0</v>
      </c>
      <c r="G25" s="234"/>
      <c r="H25" s="234"/>
      <c r="I25" s="234">
        <f>SUM(J25:K25)</f>
        <v>0</v>
      </c>
      <c r="J25" s="234"/>
      <c r="K25" s="234"/>
      <c r="L25" s="234">
        <f>SUM(M25:N25)</f>
        <v>0</v>
      </c>
      <c r="M25" s="234"/>
      <c r="N25" s="234"/>
    </row>
    <row r="26" spans="1:14" ht="20.25" customHeight="1">
      <c r="A26" s="56">
        <v>2133</v>
      </c>
      <c r="B26" s="57" t="s">
        <v>135</v>
      </c>
      <c r="C26" s="57">
        <v>3</v>
      </c>
      <c r="D26" s="57">
        <v>3</v>
      </c>
      <c r="E26" s="298" t="s">
        <v>151</v>
      </c>
      <c r="F26" s="234">
        <f>SUM(G26:H26)</f>
        <v>4170.3</v>
      </c>
      <c r="G26" s="234">
        <f>4170.3</f>
        <v>4170.3</v>
      </c>
      <c r="H26" s="234"/>
      <c r="I26" s="234">
        <f>SUM(J26:K26)</f>
        <v>4168.8</v>
      </c>
      <c r="J26" s="234">
        <f>4170.3-1.5</f>
        <v>4168.8</v>
      </c>
      <c r="K26" s="234"/>
      <c r="L26" s="234">
        <f>SUM(M26:N26)</f>
        <v>2596.544</v>
      </c>
      <c r="M26" s="234">
        <v>2596.544</v>
      </c>
      <c r="N26" s="234"/>
    </row>
    <row r="27" spans="1:14" ht="12.75" customHeight="1">
      <c r="A27" s="56">
        <v>2140</v>
      </c>
      <c r="B27" s="57" t="s">
        <v>135</v>
      </c>
      <c r="C27" s="57">
        <v>4</v>
      </c>
      <c r="D27" s="57">
        <v>0</v>
      </c>
      <c r="E27" s="298" t="s">
        <v>152</v>
      </c>
      <c r="F27" s="234">
        <f aca="true" t="shared" si="5" ref="F27:K27">SUM(F29)</f>
        <v>0</v>
      </c>
      <c r="G27" s="234">
        <f t="shared" si="5"/>
        <v>0</v>
      </c>
      <c r="H27" s="234">
        <f t="shared" si="5"/>
        <v>0</v>
      </c>
      <c r="I27" s="234">
        <f t="shared" si="5"/>
        <v>0</v>
      </c>
      <c r="J27" s="234">
        <f t="shared" si="5"/>
        <v>0</v>
      </c>
      <c r="K27" s="234">
        <f t="shared" si="5"/>
        <v>0</v>
      </c>
      <c r="L27" s="234">
        <f>SUM(L29)</f>
        <v>0</v>
      </c>
      <c r="M27" s="234">
        <f>SUM(M29)</f>
        <v>0</v>
      </c>
      <c r="N27" s="234">
        <f>SUM(N29)</f>
        <v>0</v>
      </c>
    </row>
    <row r="28" spans="1:14" s="58" customFormat="1" ht="10.5" customHeight="1">
      <c r="A28" s="56"/>
      <c r="B28" s="57"/>
      <c r="C28" s="57"/>
      <c r="D28" s="57"/>
      <c r="E28" s="298" t="s">
        <v>139</v>
      </c>
      <c r="F28" s="234"/>
      <c r="G28" s="234"/>
      <c r="H28" s="234"/>
      <c r="I28" s="234"/>
      <c r="J28" s="234"/>
      <c r="K28" s="234"/>
      <c r="L28" s="234"/>
      <c r="M28" s="234"/>
      <c r="N28" s="234"/>
    </row>
    <row r="29" spans="1:14" ht="17.25" customHeight="1">
      <c r="A29" s="56">
        <v>2141</v>
      </c>
      <c r="B29" s="57" t="s">
        <v>135</v>
      </c>
      <c r="C29" s="57">
        <v>4</v>
      </c>
      <c r="D29" s="57">
        <v>1</v>
      </c>
      <c r="E29" s="298" t="s">
        <v>153</v>
      </c>
      <c r="F29" s="234">
        <f>SUM(G29:H29)</f>
        <v>0</v>
      </c>
      <c r="G29" s="234"/>
      <c r="H29" s="234"/>
      <c r="I29" s="234">
        <f>SUM(J29:K29)</f>
        <v>0</v>
      </c>
      <c r="J29" s="234"/>
      <c r="K29" s="234"/>
      <c r="L29" s="234">
        <f>SUM(M29:N29)</f>
        <v>0</v>
      </c>
      <c r="M29" s="234"/>
      <c r="N29" s="234"/>
    </row>
    <row r="30" spans="1:14" ht="24.75" customHeight="1">
      <c r="A30" s="56">
        <v>2150</v>
      </c>
      <c r="B30" s="57" t="s">
        <v>135</v>
      </c>
      <c r="C30" s="57">
        <v>5</v>
      </c>
      <c r="D30" s="57">
        <v>0</v>
      </c>
      <c r="E30" s="298" t="s">
        <v>154</v>
      </c>
      <c r="F30" s="234">
        <f aca="true" t="shared" si="6" ref="F30:K30">SUM(F32)</f>
        <v>0</v>
      </c>
      <c r="G30" s="234">
        <f t="shared" si="6"/>
        <v>0</v>
      </c>
      <c r="H30" s="234">
        <f t="shared" si="6"/>
        <v>0</v>
      </c>
      <c r="I30" s="234">
        <f t="shared" si="6"/>
        <v>0</v>
      </c>
      <c r="J30" s="234">
        <f t="shared" si="6"/>
        <v>0</v>
      </c>
      <c r="K30" s="234">
        <f t="shared" si="6"/>
        <v>0</v>
      </c>
      <c r="L30" s="234">
        <f>SUM(L32)</f>
        <v>0</v>
      </c>
      <c r="M30" s="234">
        <f>SUM(M32)</f>
        <v>0</v>
      </c>
      <c r="N30" s="234">
        <f>SUM(N32)</f>
        <v>0</v>
      </c>
    </row>
    <row r="31" spans="1:14" s="58" customFormat="1" ht="10.5" customHeight="1">
      <c r="A31" s="56"/>
      <c r="B31" s="57"/>
      <c r="C31" s="57"/>
      <c r="D31" s="57"/>
      <c r="E31" s="298" t="s">
        <v>139</v>
      </c>
      <c r="F31" s="234"/>
      <c r="G31" s="234"/>
      <c r="H31" s="234"/>
      <c r="I31" s="234"/>
      <c r="J31" s="234"/>
      <c r="K31" s="234"/>
      <c r="L31" s="234"/>
      <c r="M31" s="234"/>
      <c r="N31" s="234"/>
    </row>
    <row r="32" spans="1:14" ht="27.75" customHeight="1">
      <c r="A32" s="56">
        <v>2151</v>
      </c>
      <c r="B32" s="57" t="s">
        <v>135</v>
      </c>
      <c r="C32" s="57">
        <v>5</v>
      </c>
      <c r="D32" s="57">
        <v>1</v>
      </c>
      <c r="E32" s="298" t="s">
        <v>155</v>
      </c>
      <c r="F32" s="234">
        <f>SUM(G32:H32)</f>
        <v>0</v>
      </c>
      <c r="G32" s="234"/>
      <c r="H32" s="234"/>
      <c r="I32" s="234">
        <f>SUM(J32:K32)</f>
        <v>0</v>
      </c>
      <c r="J32" s="234"/>
      <c r="K32" s="234"/>
      <c r="L32" s="234">
        <f>SUM(M32:N32)</f>
        <v>0</v>
      </c>
      <c r="M32" s="234"/>
      <c r="N32" s="234"/>
    </row>
    <row r="33" spans="1:14" ht="26.25" customHeight="1">
      <c r="A33" s="56">
        <v>2160</v>
      </c>
      <c r="B33" s="57" t="s">
        <v>135</v>
      </c>
      <c r="C33" s="57">
        <v>6</v>
      </c>
      <c r="D33" s="57">
        <v>0</v>
      </c>
      <c r="E33" s="298" t="s">
        <v>156</v>
      </c>
      <c r="F33" s="234">
        <f aca="true" t="shared" si="7" ref="F33:K33">SUM(F35)</f>
        <v>2391</v>
      </c>
      <c r="G33" s="234">
        <f t="shared" si="7"/>
        <v>2391</v>
      </c>
      <c r="H33" s="234">
        <f t="shared" si="7"/>
        <v>0</v>
      </c>
      <c r="I33" s="234">
        <f t="shared" si="7"/>
        <v>8791</v>
      </c>
      <c r="J33" s="234">
        <f t="shared" si="7"/>
        <v>8791</v>
      </c>
      <c r="K33" s="234">
        <f t="shared" si="7"/>
        <v>0</v>
      </c>
      <c r="L33" s="234">
        <f>SUM(L35)</f>
        <v>5466.441</v>
      </c>
      <c r="M33" s="234">
        <f>SUM(M35)</f>
        <v>5466.441</v>
      </c>
      <c r="N33" s="234">
        <f>SUM(N35)</f>
        <v>0</v>
      </c>
    </row>
    <row r="34" spans="1:14" s="58" customFormat="1" ht="10.5" customHeight="1">
      <c r="A34" s="56"/>
      <c r="B34" s="57"/>
      <c r="C34" s="57"/>
      <c r="D34" s="57"/>
      <c r="E34" s="298" t="s">
        <v>139</v>
      </c>
      <c r="F34" s="234"/>
      <c r="G34" s="234"/>
      <c r="H34" s="234"/>
      <c r="I34" s="234"/>
      <c r="J34" s="234"/>
      <c r="K34" s="234"/>
      <c r="L34" s="234"/>
      <c r="M34" s="234"/>
      <c r="N34" s="234"/>
    </row>
    <row r="35" spans="1:14" ht="28.5" customHeight="1">
      <c r="A35" s="56">
        <v>2161</v>
      </c>
      <c r="B35" s="57" t="s">
        <v>135</v>
      </c>
      <c r="C35" s="57">
        <v>6</v>
      </c>
      <c r="D35" s="57">
        <v>1</v>
      </c>
      <c r="E35" s="298" t="s">
        <v>157</v>
      </c>
      <c r="F35" s="234">
        <f>SUM(G35:H35)</f>
        <v>2391</v>
      </c>
      <c r="G35" s="234">
        <f>2391</f>
        <v>2391</v>
      </c>
      <c r="H35" s="234"/>
      <c r="I35" s="234">
        <f>SUM(J35:K35)</f>
        <v>8791</v>
      </c>
      <c r="J35" s="234">
        <f>2391+6200+200</f>
        <v>8791</v>
      </c>
      <c r="K35" s="234"/>
      <c r="L35" s="234">
        <f>SUM(M35:N35)</f>
        <v>5466.441</v>
      </c>
      <c r="M35" s="234">
        <v>5466.441</v>
      </c>
      <c r="N35" s="234"/>
    </row>
    <row r="36" spans="1:14" ht="15">
      <c r="A36" s="56">
        <v>2170</v>
      </c>
      <c r="B36" s="57" t="s">
        <v>135</v>
      </c>
      <c r="C36" s="57">
        <v>7</v>
      </c>
      <c r="D36" s="57">
        <v>0</v>
      </c>
      <c r="E36" s="298" t="s">
        <v>158</v>
      </c>
      <c r="F36" s="234">
        <f aca="true" t="shared" si="8" ref="F36:K36">SUM(F38)</f>
        <v>0</v>
      </c>
      <c r="G36" s="234">
        <f t="shared" si="8"/>
        <v>0</v>
      </c>
      <c r="H36" s="234">
        <f t="shared" si="8"/>
        <v>0</v>
      </c>
      <c r="I36" s="234">
        <f t="shared" si="8"/>
        <v>0</v>
      </c>
      <c r="J36" s="234">
        <f t="shared" si="8"/>
        <v>0</v>
      </c>
      <c r="K36" s="234">
        <f t="shared" si="8"/>
        <v>0</v>
      </c>
      <c r="L36" s="234">
        <f>SUM(L38)</f>
        <v>0</v>
      </c>
      <c r="M36" s="234">
        <f>SUM(M38)</f>
        <v>0</v>
      </c>
      <c r="N36" s="234">
        <f>SUM(N38)</f>
        <v>0</v>
      </c>
    </row>
    <row r="37" spans="1:14" s="58" customFormat="1" ht="10.5" customHeight="1">
      <c r="A37" s="56"/>
      <c r="B37" s="57"/>
      <c r="C37" s="57"/>
      <c r="D37" s="57"/>
      <c r="E37" s="298" t="s">
        <v>139</v>
      </c>
      <c r="F37" s="234"/>
      <c r="G37" s="234"/>
      <c r="H37" s="234"/>
      <c r="I37" s="234"/>
      <c r="J37" s="234"/>
      <c r="K37" s="234"/>
      <c r="L37" s="234"/>
      <c r="M37" s="234"/>
      <c r="N37" s="234"/>
    </row>
    <row r="38" spans="1:14" ht="15">
      <c r="A38" s="56">
        <v>2171</v>
      </c>
      <c r="B38" s="57" t="s">
        <v>135</v>
      </c>
      <c r="C38" s="57">
        <v>7</v>
      </c>
      <c r="D38" s="57">
        <v>1</v>
      </c>
      <c r="E38" s="298" t="s">
        <v>158</v>
      </c>
      <c r="F38" s="234">
        <f>SUM(G38:H38)</f>
        <v>0</v>
      </c>
      <c r="G38" s="234"/>
      <c r="H38" s="234"/>
      <c r="I38" s="234">
        <f>SUM(J38:K38)</f>
        <v>0</v>
      </c>
      <c r="J38" s="234"/>
      <c r="K38" s="234"/>
      <c r="L38" s="234">
        <f>SUM(M38:N38)</f>
        <v>0</v>
      </c>
      <c r="M38" s="234"/>
      <c r="N38" s="234"/>
    </row>
    <row r="39" spans="1:14" ht="29.25" customHeight="1">
      <c r="A39" s="56">
        <v>2180</v>
      </c>
      <c r="B39" s="57" t="s">
        <v>135</v>
      </c>
      <c r="C39" s="57">
        <v>8</v>
      </c>
      <c r="D39" s="57">
        <v>0</v>
      </c>
      <c r="E39" s="298" t="s">
        <v>159</v>
      </c>
      <c r="F39" s="234">
        <f aca="true" t="shared" si="9" ref="F39:K39">SUM(F41)</f>
        <v>0</v>
      </c>
      <c r="G39" s="234">
        <f t="shared" si="9"/>
        <v>0</v>
      </c>
      <c r="H39" s="234">
        <f t="shared" si="9"/>
        <v>0</v>
      </c>
      <c r="I39" s="234">
        <f t="shared" si="9"/>
        <v>0</v>
      </c>
      <c r="J39" s="234">
        <f t="shared" si="9"/>
        <v>0</v>
      </c>
      <c r="K39" s="234">
        <f t="shared" si="9"/>
        <v>0</v>
      </c>
      <c r="L39" s="234">
        <f>SUM(L41)</f>
        <v>0</v>
      </c>
      <c r="M39" s="234">
        <f>SUM(M41)</f>
        <v>0</v>
      </c>
      <c r="N39" s="234">
        <f>SUM(N41)</f>
        <v>0</v>
      </c>
    </row>
    <row r="40" spans="1:14" s="58" customFormat="1" ht="13.5" customHeight="1">
      <c r="A40" s="56"/>
      <c r="B40" s="57"/>
      <c r="C40" s="57"/>
      <c r="D40" s="57"/>
      <c r="E40" s="298" t="s">
        <v>139</v>
      </c>
      <c r="F40" s="234"/>
      <c r="G40" s="234"/>
      <c r="H40" s="234"/>
      <c r="I40" s="234"/>
      <c r="J40" s="234"/>
      <c r="K40" s="234"/>
      <c r="L40" s="234"/>
      <c r="M40" s="234"/>
      <c r="N40" s="234"/>
    </row>
    <row r="41" spans="1:14" ht="25.5" customHeight="1">
      <c r="A41" s="56">
        <v>2181</v>
      </c>
      <c r="B41" s="57" t="s">
        <v>135</v>
      </c>
      <c r="C41" s="57">
        <v>8</v>
      </c>
      <c r="D41" s="57">
        <v>1</v>
      </c>
      <c r="E41" s="298" t="s">
        <v>159</v>
      </c>
      <c r="F41" s="234">
        <f aca="true" t="shared" si="10" ref="F41:K41">SUM(F43:F44)</f>
        <v>0</v>
      </c>
      <c r="G41" s="234">
        <f t="shared" si="10"/>
        <v>0</v>
      </c>
      <c r="H41" s="234">
        <f t="shared" si="10"/>
        <v>0</v>
      </c>
      <c r="I41" s="234">
        <f t="shared" si="10"/>
        <v>0</v>
      </c>
      <c r="J41" s="234">
        <f t="shared" si="10"/>
        <v>0</v>
      </c>
      <c r="K41" s="234">
        <f t="shared" si="10"/>
        <v>0</v>
      </c>
      <c r="L41" s="234">
        <f>SUM(L43:L44)</f>
        <v>0</v>
      </c>
      <c r="M41" s="234">
        <f>SUM(M43:M44)</f>
        <v>0</v>
      </c>
      <c r="N41" s="234">
        <f>SUM(N43:N44)</f>
        <v>0</v>
      </c>
    </row>
    <row r="42" spans="1:14" ht="9" customHeight="1">
      <c r="A42" s="56"/>
      <c r="B42" s="57"/>
      <c r="C42" s="57"/>
      <c r="D42" s="57"/>
      <c r="E42" s="298" t="s">
        <v>139</v>
      </c>
      <c r="F42" s="234"/>
      <c r="G42" s="234"/>
      <c r="H42" s="234"/>
      <c r="I42" s="234"/>
      <c r="J42" s="234"/>
      <c r="K42" s="234"/>
      <c r="L42" s="234"/>
      <c r="M42" s="234"/>
      <c r="N42" s="234"/>
    </row>
    <row r="43" spans="1:14" ht="15">
      <c r="A43" s="56">
        <v>2182</v>
      </c>
      <c r="B43" s="57" t="s">
        <v>135</v>
      </c>
      <c r="C43" s="57">
        <v>8</v>
      </c>
      <c r="D43" s="57">
        <v>1</v>
      </c>
      <c r="E43" s="298" t="s">
        <v>160</v>
      </c>
      <c r="F43" s="234">
        <f>SUM(G43:H43)</f>
        <v>0</v>
      </c>
      <c r="G43" s="234"/>
      <c r="H43" s="234"/>
      <c r="I43" s="234">
        <f>SUM(J43:K43)</f>
        <v>0</v>
      </c>
      <c r="J43" s="234"/>
      <c r="K43" s="234"/>
      <c r="L43" s="234">
        <f>SUM(M43:N43)</f>
        <v>0</v>
      </c>
      <c r="M43" s="234"/>
      <c r="N43" s="234"/>
    </row>
    <row r="44" spans="1:14" ht="15">
      <c r="A44" s="56">
        <v>2183</v>
      </c>
      <c r="B44" s="57" t="s">
        <v>135</v>
      </c>
      <c r="C44" s="57">
        <v>8</v>
      </c>
      <c r="D44" s="57">
        <v>1</v>
      </c>
      <c r="E44" s="298" t="s">
        <v>161</v>
      </c>
      <c r="F44" s="234">
        <f>SUM(G44:H44)</f>
        <v>0</v>
      </c>
      <c r="G44" s="234"/>
      <c r="H44" s="234"/>
      <c r="I44" s="234">
        <f>SUM(J44:K44)</f>
        <v>0</v>
      </c>
      <c r="J44" s="234"/>
      <c r="K44" s="234"/>
      <c r="L44" s="234">
        <f>SUM(M44:N44)</f>
        <v>0</v>
      </c>
      <c r="M44" s="234"/>
      <c r="N44" s="234"/>
    </row>
    <row r="45" spans="1:14" ht="21">
      <c r="A45" s="56">
        <v>2184</v>
      </c>
      <c r="B45" s="57" t="s">
        <v>135</v>
      </c>
      <c r="C45" s="57">
        <v>8</v>
      </c>
      <c r="D45" s="57">
        <v>1</v>
      </c>
      <c r="E45" s="298" t="s">
        <v>162</v>
      </c>
      <c r="F45" s="234">
        <f>SUM(G45:H45)</f>
        <v>0</v>
      </c>
      <c r="G45" s="234"/>
      <c r="H45" s="234"/>
      <c r="I45" s="234">
        <f>SUM(J45:K45)</f>
        <v>0</v>
      </c>
      <c r="J45" s="234"/>
      <c r="K45" s="234"/>
      <c r="L45" s="234">
        <f>SUM(M45:N45)</f>
        <v>0</v>
      </c>
      <c r="M45" s="234"/>
      <c r="N45" s="234"/>
    </row>
    <row r="46" spans="1:14" ht="12" customHeight="1">
      <c r="A46" s="56">
        <v>2185</v>
      </c>
      <c r="B46" s="57" t="s">
        <v>135</v>
      </c>
      <c r="C46" s="57">
        <v>8</v>
      </c>
      <c r="D46" s="57">
        <v>1</v>
      </c>
      <c r="E46" s="298"/>
      <c r="F46" s="234"/>
      <c r="G46" s="234"/>
      <c r="H46" s="234"/>
      <c r="I46" s="234"/>
      <c r="J46" s="234"/>
      <c r="K46" s="234"/>
      <c r="L46" s="234"/>
      <c r="M46" s="234"/>
      <c r="N46" s="234"/>
    </row>
    <row r="47" spans="1:14" s="55" customFormat="1" ht="22.5" customHeight="1">
      <c r="A47" s="56">
        <v>2200</v>
      </c>
      <c r="B47" s="57" t="s">
        <v>163</v>
      </c>
      <c r="C47" s="57">
        <v>0</v>
      </c>
      <c r="D47" s="57">
        <v>0</v>
      </c>
      <c r="E47" s="298" t="s">
        <v>378</v>
      </c>
      <c r="F47" s="234">
        <f aca="true" t="shared" si="11" ref="F47:K47">SUM(F49,F52,F55,F58,F61)</f>
        <v>240</v>
      </c>
      <c r="G47" s="234">
        <f t="shared" si="11"/>
        <v>240</v>
      </c>
      <c r="H47" s="234">
        <f t="shared" si="11"/>
        <v>0</v>
      </c>
      <c r="I47" s="234">
        <f t="shared" si="11"/>
        <v>240</v>
      </c>
      <c r="J47" s="234">
        <f t="shared" si="11"/>
        <v>240</v>
      </c>
      <c r="K47" s="234">
        <f t="shared" si="11"/>
        <v>0</v>
      </c>
      <c r="L47" s="234">
        <f>SUM(L49,L52,L55,L58,L61)</f>
        <v>234</v>
      </c>
      <c r="M47" s="234">
        <f>SUM(M49,M52,M55,M58,M61)</f>
        <v>234</v>
      </c>
      <c r="N47" s="234">
        <f>SUM(N49,N52,N55,N58,N61)</f>
        <v>0</v>
      </c>
    </row>
    <row r="48" spans="1:14" ht="11.25" customHeight="1">
      <c r="A48" s="53"/>
      <c r="B48" s="57"/>
      <c r="C48" s="57"/>
      <c r="D48" s="57"/>
      <c r="E48" s="298" t="s">
        <v>21</v>
      </c>
      <c r="F48" s="234"/>
      <c r="G48" s="234"/>
      <c r="H48" s="234"/>
      <c r="I48" s="234"/>
      <c r="J48" s="234"/>
      <c r="K48" s="234"/>
      <c r="L48" s="234"/>
      <c r="M48" s="234"/>
      <c r="N48" s="234"/>
    </row>
    <row r="49" spans="1:14" ht="15.75" customHeight="1">
      <c r="A49" s="56">
        <v>2210</v>
      </c>
      <c r="B49" s="57" t="s">
        <v>163</v>
      </c>
      <c r="C49" s="57">
        <v>1</v>
      </c>
      <c r="D49" s="57">
        <v>0</v>
      </c>
      <c r="E49" s="298" t="s">
        <v>164</v>
      </c>
      <c r="F49" s="234">
        <f aca="true" t="shared" si="12" ref="F49:K49">SUM(F51)</f>
        <v>0</v>
      </c>
      <c r="G49" s="234">
        <f t="shared" si="12"/>
        <v>0</v>
      </c>
      <c r="H49" s="234">
        <f t="shared" si="12"/>
        <v>0</v>
      </c>
      <c r="I49" s="234">
        <f t="shared" si="12"/>
        <v>0</v>
      </c>
      <c r="J49" s="234">
        <f t="shared" si="12"/>
        <v>0</v>
      </c>
      <c r="K49" s="234">
        <f t="shared" si="12"/>
        <v>0</v>
      </c>
      <c r="L49" s="234">
        <f>SUM(L51)</f>
        <v>0</v>
      </c>
      <c r="M49" s="234">
        <f>SUM(M51)</f>
        <v>0</v>
      </c>
      <c r="N49" s="234">
        <f>SUM(N51)</f>
        <v>0</v>
      </c>
    </row>
    <row r="50" spans="1:14" s="58" customFormat="1" ht="10.5" customHeight="1">
      <c r="A50" s="56"/>
      <c r="B50" s="57"/>
      <c r="C50" s="57"/>
      <c r="D50" s="57"/>
      <c r="E50" s="298" t="s">
        <v>139</v>
      </c>
      <c r="F50" s="234"/>
      <c r="G50" s="234"/>
      <c r="H50" s="234"/>
      <c r="I50" s="234"/>
      <c r="J50" s="234"/>
      <c r="K50" s="234"/>
      <c r="L50" s="234"/>
      <c r="M50" s="234"/>
      <c r="N50" s="234"/>
    </row>
    <row r="51" spans="1:14" ht="15" customHeight="1">
      <c r="A51" s="56">
        <v>2211</v>
      </c>
      <c r="B51" s="57" t="s">
        <v>163</v>
      </c>
      <c r="C51" s="57">
        <v>1</v>
      </c>
      <c r="D51" s="57">
        <v>1</v>
      </c>
      <c r="E51" s="298" t="s">
        <v>165</v>
      </c>
      <c r="F51" s="234">
        <f>SUM(G51:H51)</f>
        <v>0</v>
      </c>
      <c r="G51" s="234"/>
      <c r="H51" s="234"/>
      <c r="I51" s="234">
        <f>SUM(J51:K51)</f>
        <v>0</v>
      </c>
      <c r="J51" s="234"/>
      <c r="K51" s="234"/>
      <c r="L51" s="234">
        <f>SUM(M51:N51)</f>
        <v>0</v>
      </c>
      <c r="M51" s="234"/>
      <c r="N51" s="234"/>
    </row>
    <row r="52" spans="1:14" ht="15" customHeight="1">
      <c r="A52" s="56">
        <v>2220</v>
      </c>
      <c r="B52" s="57" t="s">
        <v>163</v>
      </c>
      <c r="C52" s="57">
        <v>2</v>
      </c>
      <c r="D52" s="57">
        <v>0</v>
      </c>
      <c r="E52" s="298" t="s">
        <v>166</v>
      </c>
      <c r="F52" s="234">
        <f aca="true" t="shared" si="13" ref="F52:K52">SUM(F54)</f>
        <v>240</v>
      </c>
      <c r="G52" s="234">
        <f t="shared" si="13"/>
        <v>240</v>
      </c>
      <c r="H52" s="234">
        <f t="shared" si="13"/>
        <v>0</v>
      </c>
      <c r="I52" s="234">
        <f t="shared" si="13"/>
        <v>240</v>
      </c>
      <c r="J52" s="234">
        <f t="shared" si="13"/>
        <v>240</v>
      </c>
      <c r="K52" s="234">
        <f t="shared" si="13"/>
        <v>0</v>
      </c>
      <c r="L52" s="234">
        <f>SUM(L54)</f>
        <v>234</v>
      </c>
      <c r="M52" s="234">
        <f>SUM(M54)</f>
        <v>234</v>
      </c>
      <c r="N52" s="234">
        <f>SUM(N54)</f>
        <v>0</v>
      </c>
    </row>
    <row r="53" spans="1:14" s="58" customFormat="1" ht="10.5" customHeight="1">
      <c r="A53" s="56"/>
      <c r="B53" s="57"/>
      <c r="C53" s="57"/>
      <c r="D53" s="57"/>
      <c r="E53" s="298" t="s">
        <v>139</v>
      </c>
      <c r="F53" s="234"/>
      <c r="G53" s="234"/>
      <c r="H53" s="234"/>
      <c r="I53" s="234"/>
      <c r="J53" s="234"/>
      <c r="K53" s="234"/>
      <c r="L53" s="234"/>
      <c r="M53" s="234"/>
      <c r="N53" s="234"/>
    </row>
    <row r="54" spans="1:14" ht="15.75" customHeight="1">
      <c r="A54" s="56">
        <v>2221</v>
      </c>
      <c r="B54" s="57" t="s">
        <v>163</v>
      </c>
      <c r="C54" s="57">
        <v>2</v>
      </c>
      <c r="D54" s="57">
        <v>1</v>
      </c>
      <c r="E54" s="298" t="s">
        <v>167</v>
      </c>
      <c r="F54" s="234">
        <f>SUM(G54:H54)</f>
        <v>240</v>
      </c>
      <c r="G54" s="234">
        <f>240</f>
        <v>240</v>
      </c>
      <c r="H54" s="234"/>
      <c r="I54" s="234">
        <f>SUM(J54:K54)</f>
        <v>240</v>
      </c>
      <c r="J54" s="234">
        <f>240</f>
        <v>240</v>
      </c>
      <c r="K54" s="234"/>
      <c r="L54" s="234">
        <f>SUM(M54:N54)</f>
        <v>234</v>
      </c>
      <c r="M54" s="234">
        <v>234</v>
      </c>
      <c r="N54" s="234"/>
    </row>
    <row r="55" spans="1:14" ht="15" customHeight="1">
      <c r="A55" s="56">
        <v>2230</v>
      </c>
      <c r="B55" s="57" t="s">
        <v>163</v>
      </c>
      <c r="C55" s="57">
        <v>3</v>
      </c>
      <c r="D55" s="57">
        <v>0</v>
      </c>
      <c r="E55" s="298" t="s">
        <v>168</v>
      </c>
      <c r="F55" s="234">
        <f aca="true" t="shared" si="14" ref="F55:K55">SUM(F57)</f>
        <v>0</v>
      </c>
      <c r="G55" s="234">
        <f t="shared" si="14"/>
        <v>0</v>
      </c>
      <c r="H55" s="234">
        <f t="shared" si="14"/>
        <v>0</v>
      </c>
      <c r="I55" s="234">
        <f t="shared" si="14"/>
        <v>0</v>
      </c>
      <c r="J55" s="234">
        <f t="shared" si="14"/>
        <v>0</v>
      </c>
      <c r="K55" s="234">
        <f t="shared" si="14"/>
        <v>0</v>
      </c>
      <c r="L55" s="234">
        <f>SUM(L57)</f>
        <v>0</v>
      </c>
      <c r="M55" s="234">
        <f>SUM(M57)</f>
        <v>0</v>
      </c>
      <c r="N55" s="234">
        <f>SUM(N57)</f>
        <v>0</v>
      </c>
    </row>
    <row r="56" spans="1:14" s="58" customFormat="1" ht="14.25" customHeight="1">
      <c r="A56" s="56"/>
      <c r="B56" s="57"/>
      <c r="C56" s="57"/>
      <c r="D56" s="57"/>
      <c r="E56" s="298" t="s">
        <v>139</v>
      </c>
      <c r="F56" s="234"/>
      <c r="G56" s="234"/>
      <c r="H56" s="234"/>
      <c r="I56" s="234"/>
      <c r="J56" s="234"/>
      <c r="K56" s="234"/>
      <c r="L56" s="234"/>
      <c r="M56" s="234"/>
      <c r="N56" s="234"/>
    </row>
    <row r="57" spans="1:14" ht="15" customHeight="1">
      <c r="A57" s="56">
        <v>2231</v>
      </c>
      <c r="B57" s="57" t="s">
        <v>163</v>
      </c>
      <c r="C57" s="57">
        <v>3</v>
      </c>
      <c r="D57" s="57">
        <v>1</v>
      </c>
      <c r="E57" s="298" t="s">
        <v>169</v>
      </c>
      <c r="F57" s="234">
        <f>SUM(G57:H57)</f>
        <v>0</v>
      </c>
      <c r="G57" s="234"/>
      <c r="H57" s="234"/>
      <c r="I57" s="234">
        <f>SUM(J57:K57)</f>
        <v>0</v>
      </c>
      <c r="J57" s="234"/>
      <c r="K57" s="234"/>
      <c r="L57" s="234">
        <f>SUM(M57:N57)</f>
        <v>0</v>
      </c>
      <c r="M57" s="234"/>
      <c r="N57" s="234"/>
    </row>
    <row r="58" spans="1:14" ht="22.5" customHeight="1">
      <c r="A58" s="56">
        <v>2240</v>
      </c>
      <c r="B58" s="57" t="s">
        <v>163</v>
      </c>
      <c r="C58" s="57">
        <v>4</v>
      </c>
      <c r="D58" s="57">
        <v>0</v>
      </c>
      <c r="E58" s="298" t="s">
        <v>170</v>
      </c>
      <c r="F58" s="234">
        <f aca="true" t="shared" si="15" ref="F58:K58">SUM(F60)</f>
        <v>0</v>
      </c>
      <c r="G58" s="234">
        <f t="shared" si="15"/>
        <v>0</v>
      </c>
      <c r="H58" s="234">
        <f t="shared" si="15"/>
        <v>0</v>
      </c>
      <c r="I58" s="234">
        <f t="shared" si="15"/>
        <v>0</v>
      </c>
      <c r="J58" s="234">
        <f t="shared" si="15"/>
        <v>0</v>
      </c>
      <c r="K58" s="234">
        <f t="shared" si="15"/>
        <v>0</v>
      </c>
      <c r="L58" s="234">
        <f>SUM(L60)</f>
        <v>0</v>
      </c>
      <c r="M58" s="234">
        <f>SUM(M60)</f>
        <v>0</v>
      </c>
      <c r="N58" s="234">
        <f>SUM(N60)</f>
        <v>0</v>
      </c>
    </row>
    <row r="59" spans="1:14" s="58" customFormat="1" ht="12" customHeight="1">
      <c r="A59" s="56"/>
      <c r="B59" s="57"/>
      <c r="C59" s="57"/>
      <c r="D59" s="57"/>
      <c r="E59" s="298" t="s">
        <v>139</v>
      </c>
      <c r="F59" s="234"/>
      <c r="G59" s="234"/>
      <c r="H59" s="234"/>
      <c r="I59" s="234"/>
      <c r="J59" s="234"/>
      <c r="K59" s="234"/>
      <c r="L59" s="234"/>
      <c r="M59" s="234"/>
      <c r="N59" s="234"/>
    </row>
    <row r="60" spans="1:14" ht="26.25" customHeight="1">
      <c r="A60" s="56">
        <v>2241</v>
      </c>
      <c r="B60" s="57" t="s">
        <v>163</v>
      </c>
      <c r="C60" s="57">
        <v>4</v>
      </c>
      <c r="D60" s="57">
        <v>1</v>
      </c>
      <c r="E60" s="298" t="s">
        <v>170</v>
      </c>
      <c r="F60" s="234">
        <f>SUM(G60:H60)</f>
        <v>0</v>
      </c>
      <c r="G60" s="234"/>
      <c r="H60" s="234"/>
      <c r="I60" s="234">
        <f>SUM(J60:K60)</f>
        <v>0</v>
      </c>
      <c r="J60" s="234"/>
      <c r="K60" s="234"/>
      <c r="L60" s="234">
        <f>SUM(M60:N60)</f>
        <v>0</v>
      </c>
      <c r="M60" s="234"/>
      <c r="N60" s="234"/>
    </row>
    <row r="61" spans="1:14" ht="13.5" customHeight="1">
      <c r="A61" s="56">
        <v>2250</v>
      </c>
      <c r="B61" s="57" t="s">
        <v>163</v>
      </c>
      <c r="C61" s="57">
        <v>5</v>
      </c>
      <c r="D61" s="57">
        <v>0</v>
      </c>
      <c r="E61" s="298" t="s">
        <v>171</v>
      </c>
      <c r="F61" s="234">
        <f aca="true" t="shared" si="16" ref="F61:K61">SUM(F63)</f>
        <v>0</v>
      </c>
      <c r="G61" s="234">
        <f t="shared" si="16"/>
        <v>0</v>
      </c>
      <c r="H61" s="234">
        <f t="shared" si="16"/>
        <v>0</v>
      </c>
      <c r="I61" s="234">
        <f t="shared" si="16"/>
        <v>0</v>
      </c>
      <c r="J61" s="234">
        <f t="shared" si="16"/>
        <v>0</v>
      </c>
      <c r="K61" s="234">
        <f t="shared" si="16"/>
        <v>0</v>
      </c>
      <c r="L61" s="234">
        <f>SUM(L63)</f>
        <v>0</v>
      </c>
      <c r="M61" s="234">
        <f>SUM(M63)</f>
        <v>0</v>
      </c>
      <c r="N61" s="234">
        <f>SUM(N63)</f>
        <v>0</v>
      </c>
    </row>
    <row r="62" spans="1:14" s="58" customFormat="1" ht="13.5" customHeight="1">
      <c r="A62" s="56"/>
      <c r="B62" s="57"/>
      <c r="C62" s="57"/>
      <c r="D62" s="57"/>
      <c r="E62" s="298" t="s">
        <v>139</v>
      </c>
      <c r="F62" s="234"/>
      <c r="G62" s="234"/>
      <c r="H62" s="234"/>
      <c r="I62" s="234"/>
      <c r="J62" s="234"/>
      <c r="K62" s="234"/>
      <c r="L62" s="234"/>
      <c r="M62" s="234"/>
      <c r="N62" s="234"/>
    </row>
    <row r="63" spans="1:14" ht="15" customHeight="1">
      <c r="A63" s="56">
        <v>2251</v>
      </c>
      <c r="B63" s="57" t="s">
        <v>163</v>
      </c>
      <c r="C63" s="57">
        <v>5</v>
      </c>
      <c r="D63" s="57">
        <v>1</v>
      </c>
      <c r="E63" s="298" t="s">
        <v>171</v>
      </c>
      <c r="F63" s="234">
        <f>SUM(G63:H63)</f>
        <v>0</v>
      </c>
      <c r="G63" s="234"/>
      <c r="H63" s="234"/>
      <c r="I63" s="234">
        <f>SUM(J63:K63)</f>
        <v>0</v>
      </c>
      <c r="J63" s="234"/>
      <c r="K63" s="234"/>
      <c r="L63" s="234">
        <f>SUM(M63:N63)</f>
        <v>0</v>
      </c>
      <c r="M63" s="234"/>
      <c r="N63" s="234"/>
    </row>
    <row r="64" spans="1:14" s="55" customFormat="1" ht="34.5" customHeight="1">
      <c r="A64" s="56">
        <v>2300</v>
      </c>
      <c r="B64" s="57" t="s">
        <v>172</v>
      </c>
      <c r="C64" s="57">
        <v>0</v>
      </c>
      <c r="D64" s="57">
        <v>0</v>
      </c>
      <c r="E64" s="298" t="s">
        <v>379</v>
      </c>
      <c r="F64" s="234">
        <f aca="true" t="shared" si="17" ref="F64:K64">SUM(F66,F71,F74,F78,F81,F84,F87)</f>
        <v>0</v>
      </c>
      <c r="G64" s="234">
        <f t="shared" si="17"/>
        <v>0</v>
      </c>
      <c r="H64" s="234">
        <f t="shared" si="17"/>
        <v>0</v>
      </c>
      <c r="I64" s="234">
        <f t="shared" si="17"/>
        <v>0</v>
      </c>
      <c r="J64" s="234">
        <f t="shared" si="17"/>
        <v>0</v>
      </c>
      <c r="K64" s="234">
        <f t="shared" si="17"/>
        <v>0</v>
      </c>
      <c r="L64" s="234">
        <f>SUM(L66,L71,L74,L78,L81,L84,L87)</f>
        <v>0</v>
      </c>
      <c r="M64" s="234">
        <f>SUM(M66,M71,M74,M78,M81,M84,M87)</f>
        <v>0</v>
      </c>
      <c r="N64" s="234">
        <f>SUM(N66,N71,N74,N78,N81,N84,N87)</f>
        <v>0</v>
      </c>
    </row>
    <row r="65" spans="1:14" ht="11.25" customHeight="1">
      <c r="A65" s="53"/>
      <c r="B65" s="57"/>
      <c r="C65" s="57"/>
      <c r="D65" s="57"/>
      <c r="E65" s="298" t="s">
        <v>21</v>
      </c>
      <c r="F65" s="234"/>
      <c r="G65" s="234"/>
      <c r="H65" s="234"/>
      <c r="I65" s="234"/>
      <c r="J65" s="234"/>
      <c r="K65" s="234"/>
      <c r="L65" s="234"/>
      <c r="M65" s="234"/>
      <c r="N65" s="234"/>
    </row>
    <row r="66" spans="1:14" ht="15" customHeight="1">
      <c r="A66" s="56">
        <v>2310</v>
      </c>
      <c r="B66" s="57" t="s">
        <v>172</v>
      </c>
      <c r="C66" s="57">
        <v>1</v>
      </c>
      <c r="D66" s="57">
        <v>0</v>
      </c>
      <c r="E66" s="298" t="s">
        <v>173</v>
      </c>
      <c r="F66" s="234">
        <f aca="true" t="shared" si="18" ref="F66:K66">SUM(F68:F70)</f>
        <v>0</v>
      </c>
      <c r="G66" s="234">
        <f t="shared" si="18"/>
        <v>0</v>
      </c>
      <c r="H66" s="234">
        <f t="shared" si="18"/>
        <v>0</v>
      </c>
      <c r="I66" s="234">
        <f t="shared" si="18"/>
        <v>0</v>
      </c>
      <c r="J66" s="234">
        <f t="shared" si="18"/>
        <v>0</v>
      </c>
      <c r="K66" s="234">
        <f t="shared" si="18"/>
        <v>0</v>
      </c>
      <c r="L66" s="234">
        <f>SUM(L68:L70)</f>
        <v>0</v>
      </c>
      <c r="M66" s="234">
        <f>SUM(M68:M70)</f>
        <v>0</v>
      </c>
      <c r="N66" s="234">
        <f>SUM(N68:N70)</f>
        <v>0</v>
      </c>
    </row>
    <row r="67" spans="1:14" s="58" customFormat="1" ht="12.75" customHeight="1">
      <c r="A67" s="56"/>
      <c r="B67" s="57"/>
      <c r="C67" s="57"/>
      <c r="D67" s="57"/>
      <c r="E67" s="298" t="s">
        <v>139</v>
      </c>
      <c r="F67" s="234"/>
      <c r="G67" s="234"/>
      <c r="H67" s="234"/>
      <c r="I67" s="234"/>
      <c r="J67" s="234"/>
      <c r="K67" s="234"/>
      <c r="L67" s="234"/>
      <c r="M67" s="234"/>
      <c r="N67" s="234"/>
    </row>
    <row r="68" spans="1:14" ht="14.25" customHeight="1">
      <c r="A68" s="56">
        <v>2311</v>
      </c>
      <c r="B68" s="57" t="s">
        <v>172</v>
      </c>
      <c r="C68" s="57">
        <v>1</v>
      </c>
      <c r="D68" s="57">
        <v>1</v>
      </c>
      <c r="E68" s="298" t="s">
        <v>174</v>
      </c>
      <c r="F68" s="234">
        <f>SUM(G68:H68)</f>
        <v>0</v>
      </c>
      <c r="G68" s="234"/>
      <c r="H68" s="234"/>
      <c r="I68" s="234">
        <f>SUM(J68:K68)</f>
        <v>0</v>
      </c>
      <c r="J68" s="234"/>
      <c r="K68" s="234"/>
      <c r="L68" s="234">
        <f>SUM(M68:N68)</f>
        <v>0</v>
      </c>
      <c r="M68" s="234"/>
      <c r="N68" s="234"/>
    </row>
    <row r="69" spans="1:14" ht="14.25" customHeight="1">
      <c r="A69" s="56">
        <v>2312</v>
      </c>
      <c r="B69" s="57" t="s">
        <v>172</v>
      </c>
      <c r="C69" s="57">
        <v>1</v>
      </c>
      <c r="D69" s="57">
        <v>2</v>
      </c>
      <c r="E69" s="298" t="s">
        <v>175</v>
      </c>
      <c r="F69" s="234">
        <f>SUM(G69:H69)</f>
        <v>0</v>
      </c>
      <c r="G69" s="234"/>
      <c r="H69" s="234"/>
      <c r="I69" s="234">
        <f>SUM(J69:K69)</f>
        <v>0</v>
      </c>
      <c r="J69" s="234"/>
      <c r="K69" s="234"/>
      <c r="L69" s="234">
        <f>SUM(M69:N69)</f>
        <v>0</v>
      </c>
      <c r="M69" s="234"/>
      <c r="N69" s="234"/>
    </row>
    <row r="70" spans="1:14" ht="14.25" customHeight="1">
      <c r="A70" s="56">
        <v>2313</v>
      </c>
      <c r="B70" s="57" t="s">
        <v>172</v>
      </c>
      <c r="C70" s="57">
        <v>1</v>
      </c>
      <c r="D70" s="57">
        <v>3</v>
      </c>
      <c r="E70" s="298" t="s">
        <v>176</v>
      </c>
      <c r="F70" s="234">
        <f>SUM(G70:H70)</f>
        <v>0</v>
      </c>
      <c r="G70" s="234"/>
      <c r="H70" s="234"/>
      <c r="I70" s="234">
        <f>SUM(J70:K70)</f>
        <v>0</v>
      </c>
      <c r="J70" s="234"/>
      <c r="K70" s="234"/>
      <c r="L70" s="234">
        <f>SUM(M70:N70)</f>
        <v>0</v>
      </c>
      <c r="M70" s="234"/>
      <c r="N70" s="234"/>
    </row>
    <row r="71" spans="1:14" ht="14.25" customHeight="1">
      <c r="A71" s="56">
        <v>2320</v>
      </c>
      <c r="B71" s="57" t="s">
        <v>172</v>
      </c>
      <c r="C71" s="57">
        <v>2</v>
      </c>
      <c r="D71" s="57">
        <v>0</v>
      </c>
      <c r="E71" s="298" t="s">
        <v>177</v>
      </c>
      <c r="F71" s="234">
        <f aca="true" t="shared" si="19" ref="F71:K71">SUM(F73)</f>
        <v>0</v>
      </c>
      <c r="G71" s="234">
        <f t="shared" si="19"/>
        <v>0</v>
      </c>
      <c r="H71" s="234">
        <f t="shared" si="19"/>
        <v>0</v>
      </c>
      <c r="I71" s="234">
        <f t="shared" si="19"/>
        <v>0</v>
      </c>
      <c r="J71" s="234">
        <f t="shared" si="19"/>
        <v>0</v>
      </c>
      <c r="K71" s="234">
        <f t="shared" si="19"/>
        <v>0</v>
      </c>
      <c r="L71" s="234">
        <f>SUM(L73)</f>
        <v>0</v>
      </c>
      <c r="M71" s="234">
        <f>SUM(M73)</f>
        <v>0</v>
      </c>
      <c r="N71" s="234">
        <f>SUM(N73)</f>
        <v>0</v>
      </c>
    </row>
    <row r="72" spans="1:14" s="58" customFormat="1" ht="14.25" customHeight="1">
      <c r="A72" s="56"/>
      <c r="B72" s="57"/>
      <c r="C72" s="57"/>
      <c r="D72" s="57"/>
      <c r="E72" s="298" t="s">
        <v>139</v>
      </c>
      <c r="F72" s="234"/>
      <c r="G72" s="234"/>
      <c r="H72" s="234"/>
      <c r="I72" s="234"/>
      <c r="J72" s="234"/>
      <c r="K72" s="234"/>
      <c r="L72" s="234"/>
      <c r="M72" s="234"/>
      <c r="N72" s="234"/>
    </row>
    <row r="73" spans="1:14" ht="11.25" customHeight="1">
      <c r="A73" s="56">
        <v>2321</v>
      </c>
      <c r="B73" s="57" t="s">
        <v>172</v>
      </c>
      <c r="C73" s="57">
        <v>2</v>
      </c>
      <c r="D73" s="57">
        <v>1</v>
      </c>
      <c r="E73" s="298" t="s">
        <v>178</v>
      </c>
      <c r="F73" s="234">
        <f>SUM(G73:H73)</f>
        <v>0</v>
      </c>
      <c r="G73" s="234"/>
      <c r="H73" s="234"/>
      <c r="I73" s="234">
        <f>SUM(J73:K73)</f>
        <v>0</v>
      </c>
      <c r="J73" s="234"/>
      <c r="K73" s="234"/>
      <c r="L73" s="234">
        <f>SUM(M73:N73)</f>
        <v>0</v>
      </c>
      <c r="M73" s="234"/>
      <c r="N73" s="234"/>
    </row>
    <row r="74" spans="1:14" ht="26.25" customHeight="1">
      <c r="A74" s="56">
        <v>2330</v>
      </c>
      <c r="B74" s="57" t="s">
        <v>172</v>
      </c>
      <c r="C74" s="57">
        <v>3</v>
      </c>
      <c r="D74" s="57">
        <v>0</v>
      </c>
      <c r="E74" s="298" t="s">
        <v>179</v>
      </c>
      <c r="F74" s="234">
        <f aca="true" t="shared" si="20" ref="F74:K74">SUM(F76:F77)</f>
        <v>0</v>
      </c>
      <c r="G74" s="234">
        <f t="shared" si="20"/>
        <v>0</v>
      </c>
      <c r="H74" s="234">
        <f t="shared" si="20"/>
        <v>0</v>
      </c>
      <c r="I74" s="234">
        <f t="shared" si="20"/>
        <v>0</v>
      </c>
      <c r="J74" s="234">
        <f t="shared" si="20"/>
        <v>0</v>
      </c>
      <c r="K74" s="234">
        <f t="shared" si="20"/>
        <v>0</v>
      </c>
      <c r="L74" s="234">
        <f>SUM(L76:L77)</f>
        <v>0</v>
      </c>
      <c r="M74" s="234">
        <f>SUM(M76:M77)</f>
        <v>0</v>
      </c>
      <c r="N74" s="234">
        <f>SUM(N76:N77)</f>
        <v>0</v>
      </c>
    </row>
    <row r="75" spans="1:14" s="58" customFormat="1" ht="11.25" customHeight="1">
      <c r="A75" s="56"/>
      <c r="B75" s="57"/>
      <c r="C75" s="57"/>
      <c r="D75" s="57"/>
      <c r="E75" s="298" t="s">
        <v>139</v>
      </c>
      <c r="F75" s="234"/>
      <c r="G75" s="234"/>
      <c r="H75" s="234"/>
      <c r="I75" s="234"/>
      <c r="J75" s="234"/>
      <c r="K75" s="234"/>
      <c r="L75" s="234"/>
      <c r="M75" s="234"/>
      <c r="N75" s="234"/>
    </row>
    <row r="76" spans="1:14" ht="13.5" customHeight="1">
      <c r="A76" s="56">
        <v>2331</v>
      </c>
      <c r="B76" s="57" t="s">
        <v>172</v>
      </c>
      <c r="C76" s="57">
        <v>3</v>
      </c>
      <c r="D76" s="57">
        <v>1</v>
      </c>
      <c r="E76" s="298" t="s">
        <v>180</v>
      </c>
      <c r="F76" s="234">
        <f>SUM(G76:H76)</f>
        <v>0</v>
      </c>
      <c r="G76" s="234"/>
      <c r="H76" s="234"/>
      <c r="I76" s="234">
        <f>SUM(J76:K76)</f>
        <v>0</v>
      </c>
      <c r="J76" s="234"/>
      <c r="K76" s="234"/>
      <c r="L76" s="234">
        <f>SUM(M76:N76)</f>
        <v>0</v>
      </c>
      <c r="M76" s="234"/>
      <c r="N76" s="234"/>
    </row>
    <row r="77" spans="1:14" ht="13.5" customHeight="1">
      <c r="A77" s="56">
        <v>2332</v>
      </c>
      <c r="B77" s="57" t="s">
        <v>172</v>
      </c>
      <c r="C77" s="57">
        <v>3</v>
      </c>
      <c r="D77" s="57">
        <v>2</v>
      </c>
      <c r="E77" s="298" t="s">
        <v>183</v>
      </c>
      <c r="F77" s="234">
        <f>SUM(G77:H77)</f>
        <v>0</v>
      </c>
      <c r="G77" s="234"/>
      <c r="H77" s="234"/>
      <c r="I77" s="234">
        <f>SUM(J77:K77)</f>
        <v>0</v>
      </c>
      <c r="J77" s="234"/>
      <c r="K77" s="234"/>
      <c r="L77" s="234">
        <f>SUM(M77:N77)</f>
        <v>0</v>
      </c>
      <c r="M77" s="234"/>
      <c r="N77" s="234"/>
    </row>
    <row r="78" spans="1:14" ht="13.5" customHeight="1">
      <c r="A78" s="56">
        <v>2340</v>
      </c>
      <c r="B78" s="57" t="s">
        <v>172</v>
      </c>
      <c r="C78" s="57">
        <v>4</v>
      </c>
      <c r="D78" s="57">
        <v>0</v>
      </c>
      <c r="E78" s="298" t="s">
        <v>184</v>
      </c>
      <c r="F78" s="234">
        <f aca="true" t="shared" si="21" ref="F78:K78">SUM(F80)</f>
        <v>0</v>
      </c>
      <c r="G78" s="234">
        <f t="shared" si="21"/>
        <v>0</v>
      </c>
      <c r="H78" s="234">
        <f t="shared" si="21"/>
        <v>0</v>
      </c>
      <c r="I78" s="234">
        <f t="shared" si="21"/>
        <v>0</v>
      </c>
      <c r="J78" s="234">
        <f t="shared" si="21"/>
        <v>0</v>
      </c>
      <c r="K78" s="234">
        <f t="shared" si="21"/>
        <v>0</v>
      </c>
      <c r="L78" s="234">
        <f>SUM(L80)</f>
        <v>0</v>
      </c>
      <c r="M78" s="234">
        <f>SUM(M80)</f>
        <v>0</v>
      </c>
      <c r="N78" s="234">
        <f>SUM(N80)</f>
        <v>0</v>
      </c>
    </row>
    <row r="79" spans="1:14" s="58" customFormat="1" ht="14.25" customHeight="1">
      <c r="A79" s="56"/>
      <c r="B79" s="57"/>
      <c r="C79" s="57"/>
      <c r="D79" s="57"/>
      <c r="E79" s="298" t="s">
        <v>139</v>
      </c>
      <c r="F79" s="234"/>
      <c r="G79" s="234"/>
      <c r="H79" s="234"/>
      <c r="I79" s="234"/>
      <c r="J79" s="234"/>
      <c r="K79" s="234"/>
      <c r="L79" s="234"/>
      <c r="M79" s="234"/>
      <c r="N79" s="234"/>
    </row>
    <row r="80" spans="1:14" ht="15">
      <c r="A80" s="56">
        <v>2341</v>
      </c>
      <c r="B80" s="57" t="s">
        <v>172</v>
      </c>
      <c r="C80" s="57">
        <v>4</v>
      </c>
      <c r="D80" s="57">
        <v>1</v>
      </c>
      <c r="E80" s="298" t="s">
        <v>184</v>
      </c>
      <c r="F80" s="234">
        <f>SUM(G80:H80)</f>
        <v>0</v>
      </c>
      <c r="G80" s="234"/>
      <c r="H80" s="234"/>
      <c r="I80" s="234">
        <f>SUM(J80:K80)</f>
        <v>0</v>
      </c>
      <c r="J80" s="234"/>
      <c r="K80" s="234"/>
      <c r="L80" s="234">
        <f>SUM(M80:N80)</f>
        <v>0</v>
      </c>
      <c r="M80" s="234"/>
      <c r="N80" s="234"/>
    </row>
    <row r="81" spans="1:14" ht="14.25" customHeight="1">
      <c r="A81" s="56">
        <v>2350</v>
      </c>
      <c r="B81" s="57" t="s">
        <v>172</v>
      </c>
      <c r="C81" s="57">
        <v>5</v>
      </c>
      <c r="D81" s="57">
        <v>0</v>
      </c>
      <c r="E81" s="298" t="s">
        <v>185</v>
      </c>
      <c r="F81" s="234">
        <f aca="true" t="shared" si="22" ref="F81:K81">SUM(F83)</f>
        <v>0</v>
      </c>
      <c r="G81" s="234">
        <f t="shared" si="22"/>
        <v>0</v>
      </c>
      <c r="H81" s="234">
        <f t="shared" si="22"/>
        <v>0</v>
      </c>
      <c r="I81" s="234">
        <f t="shared" si="22"/>
        <v>0</v>
      </c>
      <c r="J81" s="234">
        <f t="shared" si="22"/>
        <v>0</v>
      </c>
      <c r="K81" s="234">
        <f t="shared" si="22"/>
        <v>0</v>
      </c>
      <c r="L81" s="234">
        <f>SUM(L83)</f>
        <v>0</v>
      </c>
      <c r="M81" s="234">
        <f>SUM(M83)</f>
        <v>0</v>
      </c>
      <c r="N81" s="234">
        <f>SUM(N83)</f>
        <v>0</v>
      </c>
    </row>
    <row r="82" spans="1:14" s="58" customFormat="1" ht="10.5" customHeight="1">
      <c r="A82" s="56"/>
      <c r="B82" s="57"/>
      <c r="C82" s="57"/>
      <c r="D82" s="57"/>
      <c r="E82" s="298" t="s">
        <v>139</v>
      </c>
      <c r="F82" s="234"/>
      <c r="G82" s="234"/>
      <c r="H82" s="234"/>
      <c r="I82" s="234"/>
      <c r="J82" s="234"/>
      <c r="K82" s="234"/>
      <c r="L82" s="234"/>
      <c r="M82" s="234"/>
      <c r="N82" s="234"/>
    </row>
    <row r="83" spans="1:14" ht="13.5" customHeight="1">
      <c r="A83" s="56">
        <v>2351</v>
      </c>
      <c r="B83" s="57" t="s">
        <v>172</v>
      </c>
      <c r="C83" s="57">
        <v>5</v>
      </c>
      <c r="D83" s="57">
        <v>1</v>
      </c>
      <c r="E83" s="298" t="s">
        <v>186</v>
      </c>
      <c r="F83" s="234">
        <f>SUM(G83:H83)</f>
        <v>0</v>
      </c>
      <c r="G83" s="234"/>
      <c r="H83" s="234"/>
      <c r="I83" s="234">
        <f>SUM(J83:K83)</f>
        <v>0</v>
      </c>
      <c r="J83" s="234"/>
      <c r="K83" s="234"/>
      <c r="L83" s="234">
        <f>SUM(M83:N83)</f>
        <v>0</v>
      </c>
      <c r="M83" s="234"/>
      <c r="N83" s="234"/>
    </row>
    <row r="84" spans="1:14" ht="21" customHeight="1">
      <c r="A84" s="56">
        <v>2360</v>
      </c>
      <c r="B84" s="57" t="s">
        <v>172</v>
      </c>
      <c r="C84" s="57">
        <v>6</v>
      </c>
      <c r="D84" s="57">
        <v>0</v>
      </c>
      <c r="E84" s="298" t="s">
        <v>187</v>
      </c>
      <c r="F84" s="234">
        <f aca="true" t="shared" si="23" ref="F84:K84">SUM(F86)</f>
        <v>0</v>
      </c>
      <c r="G84" s="234">
        <f t="shared" si="23"/>
        <v>0</v>
      </c>
      <c r="H84" s="234">
        <f t="shared" si="23"/>
        <v>0</v>
      </c>
      <c r="I84" s="234">
        <f t="shared" si="23"/>
        <v>0</v>
      </c>
      <c r="J84" s="234">
        <f t="shared" si="23"/>
        <v>0</v>
      </c>
      <c r="K84" s="234">
        <f t="shared" si="23"/>
        <v>0</v>
      </c>
      <c r="L84" s="234">
        <f>SUM(L86)</f>
        <v>0</v>
      </c>
      <c r="M84" s="234">
        <f>SUM(M86)</f>
        <v>0</v>
      </c>
      <c r="N84" s="234">
        <f>SUM(N86)</f>
        <v>0</v>
      </c>
    </row>
    <row r="85" spans="1:14" s="58" customFormat="1" ht="13.5" customHeight="1">
      <c r="A85" s="56"/>
      <c r="B85" s="57"/>
      <c r="C85" s="57"/>
      <c r="D85" s="57"/>
      <c r="E85" s="298" t="s">
        <v>139</v>
      </c>
      <c r="F85" s="234"/>
      <c r="G85" s="234"/>
      <c r="H85" s="234"/>
      <c r="I85" s="234"/>
      <c r="J85" s="234"/>
      <c r="K85" s="234"/>
      <c r="L85" s="234"/>
      <c r="M85" s="234"/>
      <c r="N85" s="234"/>
    </row>
    <row r="86" spans="1:14" ht="21.75" customHeight="1">
      <c r="A86" s="56">
        <v>2361</v>
      </c>
      <c r="B86" s="57" t="s">
        <v>172</v>
      </c>
      <c r="C86" s="57">
        <v>6</v>
      </c>
      <c r="D86" s="57">
        <v>1</v>
      </c>
      <c r="E86" s="298" t="s">
        <v>187</v>
      </c>
      <c r="F86" s="234">
        <f>SUM(G86:H86)</f>
        <v>0</v>
      </c>
      <c r="G86" s="234"/>
      <c r="H86" s="234"/>
      <c r="I86" s="234">
        <f>SUM(J86:K86)</f>
        <v>0</v>
      </c>
      <c r="J86" s="234"/>
      <c r="K86" s="234"/>
      <c r="L86" s="234">
        <f>SUM(M86:N86)</f>
        <v>0</v>
      </c>
      <c r="M86" s="234"/>
      <c r="N86" s="234"/>
    </row>
    <row r="87" spans="1:14" ht="24" customHeight="1">
      <c r="A87" s="56">
        <v>2370</v>
      </c>
      <c r="B87" s="57" t="s">
        <v>172</v>
      </c>
      <c r="C87" s="57">
        <v>7</v>
      </c>
      <c r="D87" s="57">
        <v>0</v>
      </c>
      <c r="E87" s="298" t="s">
        <v>188</v>
      </c>
      <c r="F87" s="234">
        <f aca="true" t="shared" si="24" ref="F87:K87">SUM(F89)</f>
        <v>0</v>
      </c>
      <c r="G87" s="234">
        <f t="shared" si="24"/>
        <v>0</v>
      </c>
      <c r="H87" s="234">
        <f t="shared" si="24"/>
        <v>0</v>
      </c>
      <c r="I87" s="234">
        <f t="shared" si="24"/>
        <v>0</v>
      </c>
      <c r="J87" s="234">
        <f t="shared" si="24"/>
        <v>0</v>
      </c>
      <c r="K87" s="234">
        <f t="shared" si="24"/>
        <v>0</v>
      </c>
      <c r="L87" s="234">
        <f>SUM(L89)</f>
        <v>0</v>
      </c>
      <c r="M87" s="234">
        <f>SUM(M89)</f>
        <v>0</v>
      </c>
      <c r="N87" s="234">
        <f>SUM(N89)</f>
        <v>0</v>
      </c>
    </row>
    <row r="88" spans="1:14" s="58" customFormat="1" ht="12.75" customHeight="1">
      <c r="A88" s="56"/>
      <c r="B88" s="57"/>
      <c r="C88" s="57"/>
      <c r="D88" s="57"/>
      <c r="E88" s="298" t="s">
        <v>139</v>
      </c>
      <c r="F88" s="234"/>
      <c r="G88" s="234"/>
      <c r="H88" s="234"/>
      <c r="I88" s="234"/>
      <c r="J88" s="234"/>
      <c r="K88" s="234"/>
      <c r="L88" s="234"/>
      <c r="M88" s="234"/>
      <c r="N88" s="234"/>
    </row>
    <row r="89" spans="1:14" ht="21.75" customHeight="1">
      <c r="A89" s="56">
        <v>2371</v>
      </c>
      <c r="B89" s="57" t="s">
        <v>172</v>
      </c>
      <c r="C89" s="57">
        <v>7</v>
      </c>
      <c r="D89" s="57">
        <v>1</v>
      </c>
      <c r="E89" s="298" t="s">
        <v>189</v>
      </c>
      <c r="F89" s="234">
        <f>SUM(G89:H89)</f>
        <v>0</v>
      </c>
      <c r="G89" s="234"/>
      <c r="H89" s="234"/>
      <c r="I89" s="234">
        <f>SUM(J89:K89)</f>
        <v>0</v>
      </c>
      <c r="J89" s="234"/>
      <c r="K89" s="234"/>
      <c r="L89" s="234">
        <f>SUM(M89:N89)</f>
        <v>0</v>
      </c>
      <c r="M89" s="234"/>
      <c r="N89" s="234"/>
    </row>
    <row r="90" spans="1:14" s="55" customFormat="1" ht="34.5" customHeight="1">
      <c r="A90" s="56">
        <v>2400</v>
      </c>
      <c r="B90" s="57" t="s">
        <v>190</v>
      </c>
      <c r="C90" s="57">
        <v>0</v>
      </c>
      <c r="D90" s="57">
        <v>0</v>
      </c>
      <c r="E90" s="298" t="s">
        <v>380</v>
      </c>
      <c r="F90" s="234">
        <f aca="true" t="shared" si="25" ref="F90:K90">SUM(F92,F96,F102,F110,F115,F122,F125,F131,F140)</f>
        <v>-45032</v>
      </c>
      <c r="G90" s="234">
        <f t="shared" si="25"/>
        <v>10271</v>
      </c>
      <c r="H90" s="234">
        <f t="shared" si="25"/>
        <v>-55303</v>
      </c>
      <c r="I90" s="234">
        <f t="shared" si="25"/>
        <v>-104297.997</v>
      </c>
      <c r="J90" s="234">
        <f t="shared" si="25"/>
        <v>6641.721</v>
      </c>
      <c r="K90" s="234">
        <f t="shared" si="25"/>
        <v>-110939.718</v>
      </c>
      <c r="L90" s="234">
        <f>SUM(L92,L96,L102,L110,L115,L122,L125,L131,L140)</f>
        <v>-70020.52200000001</v>
      </c>
      <c r="M90" s="234">
        <f>SUM(M92,M96,M102,M110,M115,M122,M125,M131,M140)</f>
        <v>2979.9</v>
      </c>
      <c r="N90" s="234">
        <f>SUM(N92,N96,N102,N110,N115,N122,N125,N131,N140)</f>
        <v>-73000.422</v>
      </c>
    </row>
    <row r="91" spans="1:14" ht="11.25" customHeight="1">
      <c r="A91" s="53"/>
      <c r="B91" s="57"/>
      <c r="C91" s="57"/>
      <c r="D91" s="57"/>
      <c r="E91" s="298" t="s">
        <v>21</v>
      </c>
      <c r="F91" s="234"/>
      <c r="G91" s="234"/>
      <c r="H91" s="234"/>
      <c r="I91" s="234"/>
      <c r="J91" s="234"/>
      <c r="K91" s="234"/>
      <c r="L91" s="234"/>
      <c r="M91" s="234"/>
      <c r="N91" s="234"/>
    </row>
    <row r="92" spans="1:14" ht="26.25" customHeight="1">
      <c r="A92" s="56">
        <v>2410</v>
      </c>
      <c r="B92" s="57" t="s">
        <v>190</v>
      </c>
      <c r="C92" s="57">
        <v>1</v>
      </c>
      <c r="D92" s="57">
        <v>0</v>
      </c>
      <c r="E92" s="298" t="s">
        <v>191</v>
      </c>
      <c r="F92" s="234">
        <f aca="true" t="shared" si="26" ref="F92:K92">SUM(F94:F95)</f>
        <v>0</v>
      </c>
      <c r="G92" s="234">
        <f t="shared" si="26"/>
        <v>0</v>
      </c>
      <c r="H92" s="234">
        <f t="shared" si="26"/>
        <v>0</v>
      </c>
      <c r="I92" s="234">
        <f t="shared" si="26"/>
        <v>0</v>
      </c>
      <c r="J92" s="234">
        <f t="shared" si="26"/>
        <v>0</v>
      </c>
      <c r="K92" s="234">
        <f t="shared" si="26"/>
        <v>0</v>
      </c>
      <c r="L92" s="234">
        <f>SUM(L94:L95)</f>
        <v>0</v>
      </c>
      <c r="M92" s="234">
        <f>SUM(M94:M95)</f>
        <v>0</v>
      </c>
      <c r="N92" s="234">
        <f>SUM(N94:N95)</f>
        <v>0</v>
      </c>
    </row>
    <row r="93" spans="1:14" s="58" customFormat="1" ht="13.5" customHeight="1">
      <c r="A93" s="56"/>
      <c r="B93" s="57"/>
      <c r="C93" s="57"/>
      <c r="D93" s="57"/>
      <c r="E93" s="298" t="s">
        <v>139</v>
      </c>
      <c r="F93" s="234"/>
      <c r="G93" s="234"/>
      <c r="H93" s="234"/>
      <c r="I93" s="234"/>
      <c r="J93" s="234"/>
      <c r="K93" s="234"/>
      <c r="L93" s="234"/>
      <c r="M93" s="234"/>
      <c r="N93" s="234"/>
    </row>
    <row r="94" spans="1:14" ht="22.5" customHeight="1">
      <c r="A94" s="56">
        <v>2411</v>
      </c>
      <c r="B94" s="57" t="s">
        <v>190</v>
      </c>
      <c r="C94" s="57">
        <v>1</v>
      </c>
      <c r="D94" s="57">
        <v>1</v>
      </c>
      <c r="E94" s="298" t="s">
        <v>192</v>
      </c>
      <c r="F94" s="234">
        <f>SUM(G94:H94)</f>
        <v>0</v>
      </c>
      <c r="G94" s="234"/>
      <c r="H94" s="234"/>
      <c r="I94" s="234">
        <f>SUM(J94:K94)</f>
        <v>0</v>
      </c>
      <c r="J94" s="234"/>
      <c r="K94" s="234"/>
      <c r="L94" s="234">
        <f>SUM(M94:N94)</f>
        <v>0</v>
      </c>
      <c r="M94" s="234"/>
      <c r="N94" s="234"/>
    </row>
    <row r="95" spans="1:14" ht="24" customHeight="1">
      <c r="A95" s="56">
        <v>2412</v>
      </c>
      <c r="B95" s="57" t="s">
        <v>190</v>
      </c>
      <c r="C95" s="57">
        <v>1</v>
      </c>
      <c r="D95" s="57">
        <v>2</v>
      </c>
      <c r="E95" s="298" t="s">
        <v>193</v>
      </c>
      <c r="F95" s="234">
        <f>SUM(G95:H95)</f>
        <v>0</v>
      </c>
      <c r="G95" s="234"/>
      <c r="H95" s="234"/>
      <c r="I95" s="234">
        <f>SUM(J95:K95)</f>
        <v>0</v>
      </c>
      <c r="J95" s="234"/>
      <c r="K95" s="234"/>
      <c r="L95" s="234">
        <f>SUM(M95:N95)</f>
        <v>0</v>
      </c>
      <c r="M95" s="234"/>
      <c r="N95" s="234"/>
    </row>
    <row r="96" spans="1:14" ht="24.75" customHeight="1">
      <c r="A96" s="56">
        <v>2420</v>
      </c>
      <c r="B96" s="57" t="s">
        <v>190</v>
      </c>
      <c r="C96" s="57">
        <v>2</v>
      </c>
      <c r="D96" s="57">
        <v>0</v>
      </c>
      <c r="E96" s="298" t="s">
        <v>194</v>
      </c>
      <c r="F96" s="234">
        <f aca="true" t="shared" si="27" ref="F96:K96">SUM(F98:F101)</f>
        <v>0</v>
      </c>
      <c r="G96" s="234">
        <f t="shared" si="27"/>
        <v>0</v>
      </c>
      <c r="H96" s="234">
        <f t="shared" si="27"/>
        <v>0</v>
      </c>
      <c r="I96" s="234">
        <f t="shared" si="27"/>
        <v>0</v>
      </c>
      <c r="J96" s="234">
        <f t="shared" si="27"/>
        <v>0</v>
      </c>
      <c r="K96" s="234">
        <f t="shared" si="27"/>
        <v>0</v>
      </c>
      <c r="L96" s="234">
        <f>SUM(L98:L101)</f>
        <v>0</v>
      </c>
      <c r="M96" s="234">
        <f>SUM(M98:M101)</f>
        <v>0</v>
      </c>
      <c r="N96" s="234">
        <f>SUM(N98:N101)</f>
        <v>0</v>
      </c>
    </row>
    <row r="97" spans="1:14" s="58" customFormat="1" ht="13.5" customHeight="1">
      <c r="A97" s="56"/>
      <c r="B97" s="57"/>
      <c r="C97" s="57"/>
      <c r="D97" s="57"/>
      <c r="E97" s="298" t="s">
        <v>139</v>
      </c>
      <c r="F97" s="234"/>
      <c r="G97" s="234"/>
      <c r="H97" s="234"/>
      <c r="I97" s="234"/>
      <c r="J97" s="234"/>
      <c r="K97" s="234"/>
      <c r="L97" s="234"/>
      <c r="M97" s="234"/>
      <c r="N97" s="234"/>
    </row>
    <row r="98" spans="1:14" ht="12" customHeight="1">
      <c r="A98" s="56">
        <v>2421</v>
      </c>
      <c r="B98" s="57" t="s">
        <v>190</v>
      </c>
      <c r="C98" s="57">
        <v>2</v>
      </c>
      <c r="D98" s="57">
        <v>1</v>
      </c>
      <c r="E98" s="298" t="s">
        <v>195</v>
      </c>
      <c r="F98" s="234">
        <f>SUM(G98:H98)</f>
        <v>0</v>
      </c>
      <c r="G98" s="234"/>
      <c r="H98" s="234"/>
      <c r="I98" s="234">
        <f>SUM(J98:K98)</f>
        <v>0</v>
      </c>
      <c r="J98" s="234"/>
      <c r="K98" s="234"/>
      <c r="L98" s="234">
        <f>SUM(M98:N98)</f>
        <v>0</v>
      </c>
      <c r="M98" s="234"/>
      <c r="N98" s="234"/>
    </row>
    <row r="99" spans="1:14" ht="12" customHeight="1">
      <c r="A99" s="56">
        <v>2422</v>
      </c>
      <c r="B99" s="57" t="s">
        <v>190</v>
      </c>
      <c r="C99" s="57">
        <v>2</v>
      </c>
      <c r="D99" s="57">
        <v>2</v>
      </c>
      <c r="E99" s="298" t="s">
        <v>196</v>
      </c>
      <c r="F99" s="234">
        <f>SUM(G99:H99)</f>
        <v>0</v>
      </c>
      <c r="G99" s="234"/>
      <c r="H99" s="234"/>
      <c r="I99" s="234">
        <f>SUM(J99:K99)</f>
        <v>0</v>
      </c>
      <c r="J99" s="234"/>
      <c r="K99" s="234"/>
      <c r="L99" s="234">
        <f>SUM(M99:N99)</f>
        <v>0</v>
      </c>
      <c r="M99" s="234"/>
      <c r="N99" s="234"/>
    </row>
    <row r="100" spans="1:14" ht="12" customHeight="1">
      <c r="A100" s="56">
        <v>2423</v>
      </c>
      <c r="B100" s="57" t="s">
        <v>190</v>
      </c>
      <c r="C100" s="57">
        <v>2</v>
      </c>
      <c r="D100" s="57">
        <v>3</v>
      </c>
      <c r="E100" s="298" t="s">
        <v>197</v>
      </c>
      <c r="F100" s="234">
        <f>SUM(G100:H100)</f>
        <v>0</v>
      </c>
      <c r="G100" s="234"/>
      <c r="H100" s="234"/>
      <c r="I100" s="234">
        <f>SUM(J100:K100)</f>
        <v>0</v>
      </c>
      <c r="J100" s="234"/>
      <c r="K100" s="234"/>
      <c r="L100" s="234">
        <f>SUM(M100:N100)</f>
        <v>0</v>
      </c>
      <c r="M100" s="234"/>
      <c r="N100" s="234"/>
    </row>
    <row r="101" spans="1:14" ht="12" customHeight="1">
      <c r="A101" s="56">
        <v>2424</v>
      </c>
      <c r="B101" s="57" t="s">
        <v>190</v>
      </c>
      <c r="C101" s="57">
        <v>2</v>
      </c>
      <c r="D101" s="57">
        <v>4</v>
      </c>
      <c r="E101" s="298" t="s">
        <v>198</v>
      </c>
      <c r="F101" s="234">
        <f>SUM(G101:H101)</f>
        <v>0</v>
      </c>
      <c r="G101" s="234"/>
      <c r="H101" s="234"/>
      <c r="I101" s="234">
        <f>SUM(J101:K101)</f>
        <v>0</v>
      </c>
      <c r="J101" s="234"/>
      <c r="K101" s="234"/>
      <c r="L101" s="234">
        <f>SUM(M101:N101)</f>
        <v>0</v>
      </c>
      <c r="M101" s="234"/>
      <c r="N101" s="234"/>
    </row>
    <row r="102" spans="1:14" ht="12" customHeight="1">
      <c r="A102" s="56">
        <v>2430</v>
      </c>
      <c r="B102" s="57" t="s">
        <v>190</v>
      </c>
      <c r="C102" s="57">
        <v>3</v>
      </c>
      <c r="D102" s="57">
        <v>0</v>
      </c>
      <c r="E102" s="298" t="s">
        <v>199</v>
      </c>
      <c r="F102" s="234">
        <f aca="true" t="shared" si="28" ref="F102:K102">SUM(F104:F109)</f>
        <v>0</v>
      </c>
      <c r="G102" s="234">
        <f t="shared" si="28"/>
        <v>0</v>
      </c>
      <c r="H102" s="234">
        <f t="shared" si="28"/>
        <v>0</v>
      </c>
      <c r="I102" s="234">
        <f t="shared" si="28"/>
        <v>0</v>
      </c>
      <c r="J102" s="234">
        <f t="shared" si="28"/>
        <v>0</v>
      </c>
      <c r="K102" s="234">
        <f t="shared" si="28"/>
        <v>0</v>
      </c>
      <c r="L102" s="234">
        <f>SUM(L104:L109)</f>
        <v>0</v>
      </c>
      <c r="M102" s="234">
        <f>SUM(M104:M109)</f>
        <v>0</v>
      </c>
      <c r="N102" s="234">
        <f>SUM(N104:N109)</f>
        <v>0</v>
      </c>
    </row>
    <row r="103" spans="1:14" s="58" customFormat="1" ht="13.5" customHeight="1">
      <c r="A103" s="56"/>
      <c r="B103" s="57"/>
      <c r="C103" s="57"/>
      <c r="D103" s="57"/>
      <c r="E103" s="298" t="s">
        <v>139</v>
      </c>
      <c r="F103" s="234"/>
      <c r="G103" s="234"/>
      <c r="H103" s="234"/>
      <c r="I103" s="234"/>
      <c r="J103" s="234"/>
      <c r="K103" s="234"/>
      <c r="L103" s="234"/>
      <c r="M103" s="234"/>
      <c r="N103" s="234"/>
    </row>
    <row r="104" spans="1:14" ht="12.75" customHeight="1">
      <c r="A104" s="56">
        <v>2431</v>
      </c>
      <c r="B104" s="57" t="s">
        <v>190</v>
      </c>
      <c r="C104" s="57">
        <v>3</v>
      </c>
      <c r="D104" s="57">
        <v>1</v>
      </c>
      <c r="E104" s="298" t="s">
        <v>200</v>
      </c>
      <c r="F104" s="234">
        <f aca="true" t="shared" si="29" ref="F104:F109">SUM(G104:H104)</f>
        <v>0</v>
      </c>
      <c r="G104" s="234"/>
      <c r="H104" s="234"/>
      <c r="I104" s="234">
        <f aca="true" t="shared" si="30" ref="I104:I109">SUM(J104:K104)</f>
        <v>0</v>
      </c>
      <c r="J104" s="234"/>
      <c r="K104" s="234"/>
      <c r="L104" s="234">
        <f aca="true" t="shared" si="31" ref="L104:L109">SUM(M104:N104)</f>
        <v>0</v>
      </c>
      <c r="M104" s="234"/>
      <c r="N104" s="234"/>
    </row>
    <row r="105" spans="1:14" ht="12.75" customHeight="1">
      <c r="A105" s="56">
        <v>2432</v>
      </c>
      <c r="B105" s="57" t="s">
        <v>190</v>
      </c>
      <c r="C105" s="57">
        <v>3</v>
      </c>
      <c r="D105" s="57">
        <v>2</v>
      </c>
      <c r="E105" s="298" t="s">
        <v>201</v>
      </c>
      <c r="F105" s="234">
        <f t="shared" si="29"/>
        <v>0</v>
      </c>
      <c r="G105" s="234"/>
      <c r="H105" s="234"/>
      <c r="I105" s="234">
        <f t="shared" si="30"/>
        <v>0</v>
      </c>
      <c r="J105" s="234"/>
      <c r="K105" s="234"/>
      <c r="L105" s="234">
        <f t="shared" si="31"/>
        <v>0</v>
      </c>
      <c r="M105" s="234"/>
      <c r="N105" s="234"/>
    </row>
    <row r="106" spans="1:14" ht="12.75" customHeight="1">
      <c r="A106" s="56">
        <v>2433</v>
      </c>
      <c r="B106" s="57" t="s">
        <v>190</v>
      </c>
      <c r="C106" s="57">
        <v>3</v>
      </c>
      <c r="D106" s="57">
        <v>3</v>
      </c>
      <c r="E106" s="298" t="s">
        <v>202</v>
      </c>
      <c r="F106" s="234">
        <f t="shared" si="29"/>
        <v>0</v>
      </c>
      <c r="G106" s="234"/>
      <c r="H106" s="234"/>
      <c r="I106" s="234">
        <f t="shared" si="30"/>
        <v>0</v>
      </c>
      <c r="J106" s="234"/>
      <c r="K106" s="234"/>
      <c r="L106" s="234">
        <f t="shared" si="31"/>
        <v>0</v>
      </c>
      <c r="M106" s="234"/>
      <c r="N106" s="234"/>
    </row>
    <row r="107" spans="1:14" ht="12.75" customHeight="1">
      <c r="A107" s="56">
        <v>2434</v>
      </c>
      <c r="B107" s="57" t="s">
        <v>190</v>
      </c>
      <c r="C107" s="57">
        <v>3</v>
      </c>
      <c r="D107" s="57">
        <v>4</v>
      </c>
      <c r="E107" s="298" t="s">
        <v>203</v>
      </c>
      <c r="F107" s="234">
        <f t="shared" si="29"/>
        <v>0</v>
      </c>
      <c r="G107" s="234"/>
      <c r="H107" s="234"/>
      <c r="I107" s="234">
        <f t="shared" si="30"/>
        <v>0</v>
      </c>
      <c r="J107" s="234"/>
      <c r="K107" s="234"/>
      <c r="L107" s="234">
        <f t="shared" si="31"/>
        <v>0</v>
      </c>
      <c r="M107" s="234"/>
      <c r="N107" s="234"/>
    </row>
    <row r="108" spans="1:14" ht="12.75" customHeight="1">
      <c r="A108" s="56">
        <v>2435</v>
      </c>
      <c r="B108" s="57" t="s">
        <v>190</v>
      </c>
      <c r="C108" s="57">
        <v>3</v>
      </c>
      <c r="D108" s="57">
        <v>5</v>
      </c>
      <c r="E108" s="298" t="s">
        <v>204</v>
      </c>
      <c r="F108" s="234">
        <f t="shared" si="29"/>
        <v>0</v>
      </c>
      <c r="G108" s="234"/>
      <c r="H108" s="234"/>
      <c r="I108" s="234">
        <f t="shared" si="30"/>
        <v>0</v>
      </c>
      <c r="J108" s="234"/>
      <c r="K108" s="234"/>
      <c r="L108" s="234">
        <f t="shared" si="31"/>
        <v>0</v>
      </c>
      <c r="M108" s="234"/>
      <c r="N108" s="234"/>
    </row>
    <row r="109" spans="1:14" ht="12.75" customHeight="1">
      <c r="A109" s="56">
        <v>2436</v>
      </c>
      <c r="B109" s="57" t="s">
        <v>190</v>
      </c>
      <c r="C109" s="57">
        <v>3</v>
      </c>
      <c r="D109" s="57">
        <v>6</v>
      </c>
      <c r="E109" s="298" t="s">
        <v>205</v>
      </c>
      <c r="F109" s="234">
        <f t="shared" si="29"/>
        <v>0</v>
      </c>
      <c r="G109" s="234"/>
      <c r="H109" s="234"/>
      <c r="I109" s="234">
        <f t="shared" si="30"/>
        <v>0</v>
      </c>
      <c r="J109" s="234"/>
      <c r="K109" s="234"/>
      <c r="L109" s="234">
        <f t="shared" si="31"/>
        <v>0</v>
      </c>
      <c r="M109" s="234"/>
      <c r="N109" s="234"/>
    </row>
    <row r="110" spans="1:14" ht="21" customHeight="1">
      <c r="A110" s="56">
        <v>2440</v>
      </c>
      <c r="B110" s="57" t="s">
        <v>190</v>
      </c>
      <c r="C110" s="57">
        <v>4</v>
      </c>
      <c r="D110" s="57">
        <v>0</v>
      </c>
      <c r="E110" s="298" t="s">
        <v>206</v>
      </c>
      <c r="F110" s="234">
        <f aca="true" t="shared" si="32" ref="F110:K110">SUM(F112:F114)</f>
        <v>0</v>
      </c>
      <c r="G110" s="234">
        <f t="shared" si="32"/>
        <v>0</v>
      </c>
      <c r="H110" s="234">
        <f t="shared" si="32"/>
        <v>0</v>
      </c>
      <c r="I110" s="234">
        <f t="shared" si="32"/>
        <v>0</v>
      </c>
      <c r="J110" s="234">
        <f t="shared" si="32"/>
        <v>0</v>
      </c>
      <c r="K110" s="234">
        <f t="shared" si="32"/>
        <v>0</v>
      </c>
      <c r="L110" s="234">
        <f>SUM(L112:L114)</f>
        <v>0</v>
      </c>
      <c r="M110" s="234">
        <f>SUM(M112:M114)</f>
        <v>0</v>
      </c>
      <c r="N110" s="234">
        <f>SUM(N112:N114)</f>
        <v>0</v>
      </c>
    </row>
    <row r="111" spans="1:14" s="58" customFormat="1" ht="14.25" customHeight="1">
      <c r="A111" s="56"/>
      <c r="B111" s="57"/>
      <c r="C111" s="57"/>
      <c r="D111" s="57"/>
      <c r="E111" s="298" t="s">
        <v>139</v>
      </c>
      <c r="F111" s="234"/>
      <c r="G111" s="234"/>
      <c r="H111" s="234"/>
      <c r="I111" s="234"/>
      <c r="J111" s="234"/>
      <c r="K111" s="234"/>
      <c r="L111" s="234"/>
      <c r="M111" s="234"/>
      <c r="N111" s="234"/>
    </row>
    <row r="112" spans="1:14" ht="24.75" customHeight="1">
      <c r="A112" s="56">
        <v>2441</v>
      </c>
      <c r="B112" s="57" t="s">
        <v>190</v>
      </c>
      <c r="C112" s="57">
        <v>4</v>
      </c>
      <c r="D112" s="57">
        <v>1</v>
      </c>
      <c r="E112" s="298" t="s">
        <v>207</v>
      </c>
      <c r="F112" s="234">
        <f>SUM(G112:H112)</f>
        <v>0</v>
      </c>
      <c r="G112" s="234"/>
      <c r="H112" s="234"/>
      <c r="I112" s="234">
        <f>SUM(J112:K112)</f>
        <v>0</v>
      </c>
      <c r="J112" s="234"/>
      <c r="K112" s="234"/>
      <c r="L112" s="234">
        <f>SUM(M112:N112)</f>
        <v>0</v>
      </c>
      <c r="M112" s="234"/>
      <c r="N112" s="234"/>
    </row>
    <row r="113" spans="1:14" ht="12" customHeight="1">
      <c r="A113" s="56">
        <v>2442</v>
      </c>
      <c r="B113" s="57" t="s">
        <v>190</v>
      </c>
      <c r="C113" s="57">
        <v>4</v>
      </c>
      <c r="D113" s="57">
        <v>2</v>
      </c>
      <c r="E113" s="298" t="s">
        <v>208</v>
      </c>
      <c r="F113" s="234">
        <f>SUM(G113:H113)</f>
        <v>0</v>
      </c>
      <c r="G113" s="234"/>
      <c r="H113" s="234"/>
      <c r="I113" s="234">
        <f>SUM(J113:K113)</f>
        <v>0</v>
      </c>
      <c r="J113" s="234"/>
      <c r="K113" s="234"/>
      <c r="L113" s="234">
        <f>SUM(M113:N113)</f>
        <v>0</v>
      </c>
      <c r="M113" s="234"/>
      <c r="N113" s="234"/>
    </row>
    <row r="114" spans="1:14" ht="12" customHeight="1">
      <c r="A114" s="56">
        <v>2443</v>
      </c>
      <c r="B114" s="57" t="s">
        <v>190</v>
      </c>
      <c r="C114" s="57">
        <v>4</v>
      </c>
      <c r="D114" s="57">
        <v>3</v>
      </c>
      <c r="E114" s="298" t="s">
        <v>209</v>
      </c>
      <c r="F114" s="234">
        <f>SUM(G114:H114)</f>
        <v>0</v>
      </c>
      <c r="G114" s="234"/>
      <c r="H114" s="234"/>
      <c r="I114" s="234">
        <f>SUM(J114:K114)</f>
        <v>0</v>
      </c>
      <c r="J114" s="234"/>
      <c r="K114" s="234"/>
      <c r="L114" s="234">
        <f>SUM(M114:N114)</f>
        <v>0</v>
      </c>
      <c r="M114" s="234"/>
      <c r="N114" s="234"/>
    </row>
    <row r="115" spans="1:14" ht="12" customHeight="1">
      <c r="A115" s="56">
        <v>2450</v>
      </c>
      <c r="B115" s="57" t="s">
        <v>190</v>
      </c>
      <c r="C115" s="57">
        <v>5</v>
      </c>
      <c r="D115" s="57">
        <v>0</v>
      </c>
      <c r="E115" s="298" t="s">
        <v>210</v>
      </c>
      <c r="F115" s="234">
        <f aca="true" t="shared" si="33" ref="F115:K115">SUM(F117:F121)</f>
        <v>11968</v>
      </c>
      <c r="G115" s="234">
        <f t="shared" si="33"/>
        <v>7271</v>
      </c>
      <c r="H115" s="234">
        <f t="shared" si="33"/>
        <v>4697</v>
      </c>
      <c r="I115" s="234">
        <f t="shared" si="33"/>
        <v>32702.003</v>
      </c>
      <c r="J115" s="234">
        <f t="shared" si="33"/>
        <v>3641.721</v>
      </c>
      <c r="K115" s="234">
        <f t="shared" si="33"/>
        <v>29060.282</v>
      </c>
      <c r="L115" s="234">
        <f>SUM(L117:L121)</f>
        <v>15964.523</v>
      </c>
      <c r="M115" s="234">
        <f>SUM(M117:M121)</f>
        <v>2857.5</v>
      </c>
      <c r="N115" s="234">
        <f>SUM(N117:N121)</f>
        <v>13107.023</v>
      </c>
    </row>
    <row r="116" spans="1:14" s="58" customFormat="1" ht="12" customHeight="1">
      <c r="A116" s="56"/>
      <c r="B116" s="57"/>
      <c r="C116" s="57"/>
      <c r="D116" s="57"/>
      <c r="E116" s="298" t="s">
        <v>139</v>
      </c>
      <c r="F116" s="234"/>
      <c r="G116" s="234"/>
      <c r="H116" s="234"/>
      <c r="I116" s="234"/>
      <c r="J116" s="234"/>
      <c r="K116" s="234"/>
      <c r="L116" s="234"/>
      <c r="M116" s="234"/>
      <c r="N116" s="234"/>
    </row>
    <row r="117" spans="1:14" ht="12" customHeight="1">
      <c r="A117" s="56">
        <v>2451</v>
      </c>
      <c r="B117" s="57" t="s">
        <v>190</v>
      </c>
      <c r="C117" s="57">
        <v>5</v>
      </c>
      <c r="D117" s="57">
        <v>1</v>
      </c>
      <c r="E117" s="298" t="s">
        <v>211</v>
      </c>
      <c r="F117" s="234">
        <f>SUM(G117:H117)</f>
        <v>11968</v>
      </c>
      <c r="G117" s="234">
        <f>7271</f>
        <v>7271</v>
      </c>
      <c r="H117" s="234">
        <f>4697</f>
        <v>4697</v>
      </c>
      <c r="I117" s="234">
        <f>SUM(J117:K117)</f>
        <v>32702.003</v>
      </c>
      <c r="J117" s="234">
        <v>3641.721</v>
      </c>
      <c r="K117" s="234">
        <f>4697+4693.282-3060+22000+1000-270</f>
        <v>29060.282</v>
      </c>
      <c r="L117" s="234">
        <f>SUM(M117:N117)</f>
        <v>15964.523</v>
      </c>
      <c r="M117" s="234">
        <v>2857.5</v>
      </c>
      <c r="N117" s="234">
        <f>10947.023+2160</f>
        <v>13107.023</v>
      </c>
    </row>
    <row r="118" spans="1:14" ht="12" customHeight="1">
      <c r="A118" s="56">
        <v>2452</v>
      </c>
      <c r="B118" s="57" t="s">
        <v>190</v>
      </c>
      <c r="C118" s="57">
        <v>5</v>
      </c>
      <c r="D118" s="57">
        <v>2</v>
      </c>
      <c r="E118" s="298" t="s">
        <v>212</v>
      </c>
      <c r="F118" s="234">
        <f>SUM(G118:H118)</f>
        <v>0</v>
      </c>
      <c r="G118" s="234"/>
      <c r="H118" s="234"/>
      <c r="I118" s="234">
        <f>SUM(J118:K118)</f>
        <v>0</v>
      </c>
      <c r="J118" s="234"/>
      <c r="K118" s="234"/>
      <c r="L118" s="234">
        <f>SUM(M118:N118)</f>
        <v>0</v>
      </c>
      <c r="M118" s="234"/>
      <c r="N118" s="234"/>
    </row>
    <row r="119" spans="1:14" ht="12" customHeight="1">
      <c r="A119" s="56">
        <v>2453</v>
      </c>
      <c r="B119" s="57" t="s">
        <v>190</v>
      </c>
      <c r="C119" s="57">
        <v>5</v>
      </c>
      <c r="D119" s="57">
        <v>3</v>
      </c>
      <c r="E119" s="298" t="s">
        <v>213</v>
      </c>
      <c r="F119" s="234">
        <f>SUM(G119:H119)</f>
        <v>0</v>
      </c>
      <c r="G119" s="234"/>
      <c r="H119" s="234"/>
      <c r="I119" s="234">
        <f>SUM(J119:K119)</f>
        <v>0</v>
      </c>
      <c r="J119" s="234"/>
      <c r="K119" s="234"/>
      <c r="L119" s="234">
        <f>SUM(M119:N119)</f>
        <v>0</v>
      </c>
      <c r="M119" s="234"/>
      <c r="N119" s="234"/>
    </row>
    <row r="120" spans="1:14" ht="12" customHeight="1">
      <c r="A120" s="56">
        <v>2454</v>
      </c>
      <c r="B120" s="57" t="s">
        <v>190</v>
      </c>
      <c r="C120" s="57">
        <v>5</v>
      </c>
      <c r="D120" s="57">
        <v>4</v>
      </c>
      <c r="E120" s="298" t="s">
        <v>214</v>
      </c>
      <c r="F120" s="234">
        <f>SUM(G120:H120)</f>
        <v>0</v>
      </c>
      <c r="G120" s="234"/>
      <c r="H120" s="234"/>
      <c r="I120" s="234">
        <f>SUM(J120:K120)</f>
        <v>0</v>
      </c>
      <c r="J120" s="234"/>
      <c r="K120" s="234"/>
      <c r="L120" s="234">
        <f>SUM(M120:N120)</f>
        <v>0</v>
      </c>
      <c r="M120" s="234"/>
      <c r="N120" s="234"/>
    </row>
    <row r="121" spans="1:14" ht="12" customHeight="1">
      <c r="A121" s="56">
        <v>2455</v>
      </c>
      <c r="B121" s="57" t="s">
        <v>190</v>
      </c>
      <c r="C121" s="57">
        <v>5</v>
      </c>
      <c r="D121" s="57">
        <v>5</v>
      </c>
      <c r="E121" s="298" t="s">
        <v>215</v>
      </c>
      <c r="F121" s="234">
        <f>SUM(G121:H121)</f>
        <v>0</v>
      </c>
      <c r="G121" s="234"/>
      <c r="H121" s="234"/>
      <c r="I121" s="234">
        <f>SUM(J121:K121)</f>
        <v>0</v>
      </c>
      <c r="J121" s="234"/>
      <c r="K121" s="234"/>
      <c r="L121" s="234">
        <f>SUM(M121:N121)</f>
        <v>0</v>
      </c>
      <c r="M121" s="234"/>
      <c r="N121" s="234"/>
    </row>
    <row r="122" spans="1:14" ht="12" customHeight="1">
      <c r="A122" s="56">
        <v>2460</v>
      </c>
      <c r="B122" s="57" t="s">
        <v>190</v>
      </c>
      <c r="C122" s="57">
        <v>6</v>
      </c>
      <c r="D122" s="57">
        <v>0</v>
      </c>
      <c r="E122" s="298" t="s">
        <v>216</v>
      </c>
      <c r="F122" s="234">
        <f aca="true" t="shared" si="34" ref="F122:K122">SUM(F124)</f>
        <v>0</v>
      </c>
      <c r="G122" s="234">
        <f t="shared" si="34"/>
        <v>0</v>
      </c>
      <c r="H122" s="234">
        <f t="shared" si="34"/>
        <v>0</v>
      </c>
      <c r="I122" s="234">
        <f t="shared" si="34"/>
        <v>0</v>
      </c>
      <c r="J122" s="234">
        <f t="shared" si="34"/>
        <v>0</v>
      </c>
      <c r="K122" s="234">
        <f t="shared" si="34"/>
        <v>0</v>
      </c>
      <c r="L122" s="234">
        <f>SUM(L124)</f>
        <v>0</v>
      </c>
      <c r="M122" s="234">
        <f>SUM(M124)</f>
        <v>0</v>
      </c>
      <c r="N122" s="234">
        <f>SUM(N124)</f>
        <v>0</v>
      </c>
    </row>
    <row r="123" spans="1:14" s="58" customFormat="1" ht="12" customHeight="1">
      <c r="A123" s="56"/>
      <c r="B123" s="57"/>
      <c r="C123" s="57"/>
      <c r="D123" s="57"/>
      <c r="E123" s="298" t="s">
        <v>139</v>
      </c>
      <c r="F123" s="234"/>
      <c r="G123" s="234"/>
      <c r="H123" s="234"/>
      <c r="I123" s="234"/>
      <c r="J123" s="234"/>
      <c r="K123" s="234"/>
      <c r="L123" s="234"/>
      <c r="M123" s="234"/>
      <c r="N123" s="234"/>
    </row>
    <row r="124" spans="1:14" ht="12" customHeight="1">
      <c r="A124" s="56">
        <v>2461</v>
      </c>
      <c r="B124" s="57" t="s">
        <v>190</v>
      </c>
      <c r="C124" s="57">
        <v>6</v>
      </c>
      <c r="D124" s="57">
        <v>1</v>
      </c>
      <c r="E124" s="298" t="s">
        <v>217</v>
      </c>
      <c r="F124" s="234">
        <f>SUM(G124:H124)</f>
        <v>0</v>
      </c>
      <c r="G124" s="234"/>
      <c r="H124" s="234"/>
      <c r="I124" s="234">
        <f>SUM(J124:K124)</f>
        <v>0</v>
      </c>
      <c r="J124" s="234"/>
      <c r="K124" s="234"/>
      <c r="L124" s="234">
        <f>SUM(M124:N124)</f>
        <v>0</v>
      </c>
      <c r="M124" s="234"/>
      <c r="N124" s="234"/>
    </row>
    <row r="125" spans="1:14" ht="12" customHeight="1">
      <c r="A125" s="56">
        <v>2470</v>
      </c>
      <c r="B125" s="57" t="s">
        <v>190</v>
      </c>
      <c r="C125" s="57">
        <v>7</v>
      </c>
      <c r="D125" s="57">
        <v>0</v>
      </c>
      <c r="E125" s="298" t="s">
        <v>218</v>
      </c>
      <c r="F125" s="234">
        <f aca="true" t="shared" si="35" ref="F125:K125">SUM(F127:F130)</f>
        <v>3000</v>
      </c>
      <c r="G125" s="234">
        <f t="shared" si="35"/>
        <v>3000</v>
      </c>
      <c r="H125" s="234">
        <f t="shared" si="35"/>
        <v>0</v>
      </c>
      <c r="I125" s="234">
        <f t="shared" si="35"/>
        <v>3000</v>
      </c>
      <c r="J125" s="234">
        <f t="shared" si="35"/>
        <v>3000</v>
      </c>
      <c r="K125" s="234">
        <f t="shared" si="35"/>
        <v>0</v>
      </c>
      <c r="L125" s="234">
        <f>SUM(L127:L130)</f>
        <v>122.4</v>
      </c>
      <c r="M125" s="234">
        <f>SUM(M127:M130)</f>
        <v>122.4</v>
      </c>
      <c r="N125" s="234">
        <f>SUM(N127:N130)</f>
        <v>0</v>
      </c>
    </row>
    <row r="126" spans="1:14" s="58" customFormat="1" ht="12" customHeight="1">
      <c r="A126" s="56"/>
      <c r="B126" s="57"/>
      <c r="C126" s="57"/>
      <c r="D126" s="57"/>
      <c r="E126" s="298" t="s">
        <v>139</v>
      </c>
      <c r="F126" s="234"/>
      <c r="G126" s="234"/>
      <c r="H126" s="234"/>
      <c r="I126" s="234"/>
      <c r="J126" s="234"/>
      <c r="K126" s="234"/>
      <c r="L126" s="234"/>
      <c r="M126" s="234"/>
      <c r="N126" s="234"/>
    </row>
    <row r="127" spans="1:14" ht="25.5" customHeight="1">
      <c r="A127" s="56">
        <v>2471</v>
      </c>
      <c r="B127" s="57" t="s">
        <v>190</v>
      </c>
      <c r="C127" s="57">
        <v>7</v>
      </c>
      <c r="D127" s="57">
        <v>1</v>
      </c>
      <c r="E127" s="298" t="s">
        <v>219</v>
      </c>
      <c r="F127" s="234">
        <f>SUM(G127:H127)</f>
        <v>0</v>
      </c>
      <c r="G127" s="234"/>
      <c r="H127" s="234"/>
      <c r="I127" s="234">
        <f>SUM(J127:K127)</f>
        <v>0</v>
      </c>
      <c r="J127" s="234"/>
      <c r="K127" s="234"/>
      <c r="L127" s="234">
        <f>SUM(M127:N127)</f>
        <v>0</v>
      </c>
      <c r="M127" s="234"/>
      <c r="N127" s="234"/>
    </row>
    <row r="128" spans="1:14" ht="15" customHeight="1">
      <c r="A128" s="56">
        <v>2472</v>
      </c>
      <c r="B128" s="57" t="s">
        <v>190</v>
      </c>
      <c r="C128" s="57">
        <v>7</v>
      </c>
      <c r="D128" s="57">
        <v>2</v>
      </c>
      <c r="E128" s="298" t="s">
        <v>220</v>
      </c>
      <c r="F128" s="234">
        <f>SUM(G128:H128)</f>
        <v>0</v>
      </c>
      <c r="G128" s="234"/>
      <c r="H128" s="234"/>
      <c r="I128" s="234">
        <f>SUM(J128:K128)</f>
        <v>0</v>
      </c>
      <c r="J128" s="234"/>
      <c r="K128" s="234"/>
      <c r="L128" s="234">
        <f>SUM(M128:N128)</f>
        <v>0</v>
      </c>
      <c r="M128" s="234"/>
      <c r="N128" s="234"/>
    </row>
    <row r="129" spans="1:14" ht="12" customHeight="1">
      <c r="A129" s="56">
        <v>2473</v>
      </c>
      <c r="B129" s="57" t="s">
        <v>190</v>
      </c>
      <c r="C129" s="57">
        <v>7</v>
      </c>
      <c r="D129" s="57">
        <v>3</v>
      </c>
      <c r="E129" s="298" t="s">
        <v>221</v>
      </c>
      <c r="F129" s="234">
        <f>SUM(G129:H129)</f>
        <v>3000</v>
      </c>
      <c r="G129" s="234">
        <f>3000</f>
        <v>3000</v>
      </c>
      <c r="H129" s="234"/>
      <c r="I129" s="234">
        <f>SUM(J129:K129)</f>
        <v>3000</v>
      </c>
      <c r="J129" s="234">
        <f>3000</f>
        <v>3000</v>
      </c>
      <c r="K129" s="234"/>
      <c r="L129" s="234">
        <f>SUM(M129:N129)</f>
        <v>122.4</v>
      </c>
      <c r="M129" s="234">
        <f>122.4</f>
        <v>122.4</v>
      </c>
      <c r="N129" s="234"/>
    </row>
    <row r="130" spans="1:14" ht="14.25" customHeight="1">
      <c r="A130" s="56">
        <v>2474</v>
      </c>
      <c r="B130" s="57" t="s">
        <v>190</v>
      </c>
      <c r="C130" s="57">
        <v>7</v>
      </c>
      <c r="D130" s="57">
        <v>4</v>
      </c>
      <c r="E130" s="298" t="s">
        <v>222</v>
      </c>
      <c r="F130" s="234">
        <f>SUM(G130:H130)</f>
        <v>0</v>
      </c>
      <c r="G130" s="234"/>
      <c r="H130" s="234"/>
      <c r="I130" s="234">
        <f>SUM(J130:K130)</f>
        <v>0</v>
      </c>
      <c r="J130" s="234"/>
      <c r="K130" s="234"/>
      <c r="L130" s="234">
        <f>SUM(M130:N130)</f>
        <v>0</v>
      </c>
      <c r="M130" s="234"/>
      <c r="N130" s="234"/>
    </row>
    <row r="131" spans="1:14" ht="29.25" customHeight="1">
      <c r="A131" s="56">
        <v>2480</v>
      </c>
      <c r="B131" s="57" t="s">
        <v>190</v>
      </c>
      <c r="C131" s="57">
        <v>8</v>
      </c>
      <c r="D131" s="57">
        <v>0</v>
      </c>
      <c r="E131" s="298" t="s">
        <v>223</v>
      </c>
      <c r="F131" s="234">
        <f aca="true" t="shared" si="36" ref="F131:K131">SUM(F133:F139)</f>
        <v>0</v>
      </c>
      <c r="G131" s="234">
        <f t="shared" si="36"/>
        <v>0</v>
      </c>
      <c r="H131" s="234">
        <f t="shared" si="36"/>
        <v>0</v>
      </c>
      <c r="I131" s="234">
        <f t="shared" si="36"/>
        <v>0</v>
      </c>
      <c r="J131" s="234">
        <f t="shared" si="36"/>
        <v>0</v>
      </c>
      <c r="K131" s="234">
        <f t="shared" si="36"/>
        <v>0</v>
      </c>
      <c r="L131" s="234">
        <f>SUM(L133:L139)</f>
        <v>0</v>
      </c>
      <c r="M131" s="234">
        <f>SUM(M133:M139)</f>
        <v>0</v>
      </c>
      <c r="N131" s="234">
        <f>SUM(N133:N139)</f>
        <v>0</v>
      </c>
    </row>
    <row r="132" spans="1:14" s="58" customFormat="1" ht="16.5" customHeight="1">
      <c r="A132" s="56"/>
      <c r="B132" s="57"/>
      <c r="C132" s="57"/>
      <c r="D132" s="57"/>
      <c r="E132" s="298" t="s">
        <v>139</v>
      </c>
      <c r="F132" s="234"/>
      <c r="G132" s="234"/>
      <c r="H132" s="234"/>
      <c r="I132" s="234"/>
      <c r="J132" s="234"/>
      <c r="K132" s="234"/>
      <c r="L132" s="234"/>
      <c r="M132" s="234"/>
      <c r="N132" s="234"/>
    </row>
    <row r="133" spans="1:14" ht="34.5" customHeight="1">
      <c r="A133" s="56">
        <v>2481</v>
      </c>
      <c r="B133" s="57" t="s">
        <v>190</v>
      </c>
      <c r="C133" s="57">
        <v>8</v>
      </c>
      <c r="D133" s="57">
        <v>1</v>
      </c>
      <c r="E133" s="298" t="s">
        <v>224</v>
      </c>
      <c r="F133" s="234">
        <f aca="true" t="shared" si="37" ref="F133:F139">SUM(G133:H133)</f>
        <v>0</v>
      </c>
      <c r="G133" s="234"/>
      <c r="H133" s="234"/>
      <c r="I133" s="234">
        <f aca="true" t="shared" si="38" ref="I133:I139">SUM(J133:K133)</f>
        <v>0</v>
      </c>
      <c r="J133" s="234"/>
      <c r="K133" s="234"/>
      <c r="L133" s="234">
        <f aca="true" t="shared" si="39" ref="L133:L139">SUM(M133:N133)</f>
        <v>0</v>
      </c>
      <c r="M133" s="234"/>
      <c r="N133" s="234"/>
    </row>
    <row r="134" spans="1:14" ht="34.5" customHeight="1">
      <c r="A134" s="56">
        <v>2482</v>
      </c>
      <c r="B134" s="57" t="s">
        <v>190</v>
      </c>
      <c r="C134" s="57">
        <v>8</v>
      </c>
      <c r="D134" s="57">
        <v>2</v>
      </c>
      <c r="E134" s="298" t="s">
        <v>225</v>
      </c>
      <c r="F134" s="234">
        <f t="shared" si="37"/>
        <v>0</v>
      </c>
      <c r="G134" s="234"/>
      <c r="H134" s="234"/>
      <c r="I134" s="234">
        <f t="shared" si="38"/>
        <v>0</v>
      </c>
      <c r="J134" s="234"/>
      <c r="K134" s="234"/>
      <c r="L134" s="234">
        <f t="shared" si="39"/>
        <v>0</v>
      </c>
      <c r="M134" s="234"/>
      <c r="N134" s="234"/>
    </row>
    <row r="135" spans="1:14" ht="24.75" customHeight="1">
      <c r="A135" s="56">
        <v>2483</v>
      </c>
      <c r="B135" s="57" t="s">
        <v>190</v>
      </c>
      <c r="C135" s="57">
        <v>8</v>
      </c>
      <c r="D135" s="57">
        <v>3</v>
      </c>
      <c r="E135" s="298" t="s">
        <v>226</v>
      </c>
      <c r="F135" s="234">
        <f t="shared" si="37"/>
        <v>0</v>
      </c>
      <c r="G135" s="234"/>
      <c r="H135" s="234"/>
      <c r="I135" s="234">
        <f t="shared" si="38"/>
        <v>0</v>
      </c>
      <c r="J135" s="234"/>
      <c r="K135" s="234"/>
      <c r="L135" s="234">
        <f t="shared" si="39"/>
        <v>0</v>
      </c>
      <c r="M135" s="234"/>
      <c r="N135" s="234"/>
    </row>
    <row r="136" spans="1:14" ht="32.25" customHeight="1">
      <c r="A136" s="56">
        <v>2484</v>
      </c>
      <c r="B136" s="57" t="s">
        <v>190</v>
      </c>
      <c r="C136" s="57">
        <v>8</v>
      </c>
      <c r="D136" s="57">
        <v>4</v>
      </c>
      <c r="E136" s="298" t="s">
        <v>227</v>
      </c>
      <c r="F136" s="234">
        <f t="shared" si="37"/>
        <v>0</v>
      </c>
      <c r="G136" s="234"/>
      <c r="H136" s="234"/>
      <c r="I136" s="234">
        <f t="shared" si="38"/>
        <v>0</v>
      </c>
      <c r="J136" s="234"/>
      <c r="K136" s="234"/>
      <c r="L136" s="234">
        <f t="shared" si="39"/>
        <v>0</v>
      </c>
      <c r="M136" s="234"/>
      <c r="N136" s="234"/>
    </row>
    <row r="137" spans="1:14" ht="21.75" customHeight="1">
      <c r="A137" s="56">
        <v>2485</v>
      </c>
      <c r="B137" s="57" t="s">
        <v>190</v>
      </c>
      <c r="C137" s="57">
        <v>8</v>
      </c>
      <c r="D137" s="57">
        <v>5</v>
      </c>
      <c r="E137" s="298" t="s">
        <v>228</v>
      </c>
      <c r="F137" s="234">
        <f t="shared" si="37"/>
        <v>0</v>
      </c>
      <c r="G137" s="234"/>
      <c r="H137" s="234"/>
      <c r="I137" s="234">
        <f t="shared" si="38"/>
        <v>0</v>
      </c>
      <c r="J137" s="234"/>
      <c r="K137" s="234"/>
      <c r="L137" s="234">
        <f t="shared" si="39"/>
        <v>0</v>
      </c>
      <c r="M137" s="234"/>
      <c r="N137" s="234"/>
    </row>
    <row r="138" spans="1:14" ht="20.25" customHeight="1">
      <c r="A138" s="56">
        <v>2486</v>
      </c>
      <c r="B138" s="57" t="s">
        <v>190</v>
      </c>
      <c r="C138" s="57">
        <v>8</v>
      </c>
      <c r="D138" s="57">
        <v>6</v>
      </c>
      <c r="E138" s="298" t="s">
        <v>229</v>
      </c>
      <c r="F138" s="234">
        <f t="shared" si="37"/>
        <v>0</v>
      </c>
      <c r="G138" s="234"/>
      <c r="H138" s="234"/>
      <c r="I138" s="234">
        <f t="shared" si="38"/>
        <v>0</v>
      </c>
      <c r="J138" s="234"/>
      <c r="K138" s="234"/>
      <c r="L138" s="234">
        <f t="shared" si="39"/>
        <v>0</v>
      </c>
      <c r="M138" s="234"/>
      <c r="N138" s="234"/>
    </row>
    <row r="139" spans="1:14" ht="24" customHeight="1">
      <c r="A139" s="56">
        <v>2487</v>
      </c>
      <c r="B139" s="57" t="s">
        <v>190</v>
      </c>
      <c r="C139" s="57">
        <v>8</v>
      </c>
      <c r="D139" s="57">
        <v>7</v>
      </c>
      <c r="E139" s="298" t="s">
        <v>230</v>
      </c>
      <c r="F139" s="234">
        <f t="shared" si="37"/>
        <v>0</v>
      </c>
      <c r="G139" s="234"/>
      <c r="H139" s="234"/>
      <c r="I139" s="234">
        <f t="shared" si="38"/>
        <v>0</v>
      </c>
      <c r="J139" s="234"/>
      <c r="K139" s="234"/>
      <c r="L139" s="234">
        <f t="shared" si="39"/>
        <v>0</v>
      </c>
      <c r="M139" s="234"/>
      <c r="N139" s="234"/>
    </row>
    <row r="140" spans="1:14" ht="24" customHeight="1">
      <c r="A140" s="56">
        <v>2490</v>
      </c>
      <c r="B140" s="57" t="s">
        <v>190</v>
      </c>
      <c r="C140" s="57">
        <v>9</v>
      </c>
      <c r="D140" s="57">
        <v>0</v>
      </c>
      <c r="E140" s="298" t="s">
        <v>231</v>
      </c>
      <c r="F140" s="234">
        <f aca="true" t="shared" si="40" ref="F140:K140">SUM(F142)</f>
        <v>-60000</v>
      </c>
      <c r="G140" s="234">
        <f t="shared" si="40"/>
        <v>0</v>
      </c>
      <c r="H140" s="234">
        <f t="shared" si="40"/>
        <v>-60000</v>
      </c>
      <c r="I140" s="234">
        <f t="shared" si="40"/>
        <v>-140000</v>
      </c>
      <c r="J140" s="234">
        <f t="shared" si="40"/>
        <v>0</v>
      </c>
      <c r="K140" s="234">
        <f t="shared" si="40"/>
        <v>-140000</v>
      </c>
      <c r="L140" s="234">
        <f>SUM(L142)</f>
        <v>-86107.445</v>
      </c>
      <c r="M140" s="234">
        <f>SUM(M142)</f>
        <v>0</v>
      </c>
      <c r="N140" s="234">
        <f>SUM(N142)</f>
        <v>-86107.445</v>
      </c>
    </row>
    <row r="141" spans="1:14" s="58" customFormat="1" ht="16.5" customHeight="1">
      <c r="A141" s="56"/>
      <c r="B141" s="57"/>
      <c r="C141" s="57"/>
      <c r="D141" s="57"/>
      <c r="E141" s="298" t="s">
        <v>139</v>
      </c>
      <c r="F141" s="234"/>
      <c r="G141" s="234"/>
      <c r="H141" s="234"/>
      <c r="I141" s="234"/>
      <c r="J141" s="234"/>
      <c r="K141" s="234"/>
      <c r="L141" s="234"/>
      <c r="M141" s="234"/>
      <c r="N141" s="234"/>
    </row>
    <row r="142" spans="1:14" ht="17.25" customHeight="1">
      <c r="A142" s="56">
        <v>2491</v>
      </c>
      <c r="B142" s="57" t="s">
        <v>190</v>
      </c>
      <c r="C142" s="57">
        <v>9</v>
      </c>
      <c r="D142" s="57">
        <v>1</v>
      </c>
      <c r="E142" s="298" t="s">
        <v>231</v>
      </c>
      <c r="F142" s="234">
        <f>SUM(G142:H142)</f>
        <v>-60000</v>
      </c>
      <c r="G142" s="234"/>
      <c r="H142" s="234">
        <f>-60000</f>
        <v>-60000</v>
      </c>
      <c r="I142" s="234">
        <f>SUM(J142:K142)</f>
        <v>-140000</v>
      </c>
      <c r="J142" s="234"/>
      <c r="K142" s="234">
        <f>-60000-80000</f>
        <v>-140000</v>
      </c>
      <c r="L142" s="234">
        <f>SUM(M142:N142)</f>
        <v>-86107.445</v>
      </c>
      <c r="M142" s="234"/>
      <c r="N142" s="234">
        <v>-86107.445</v>
      </c>
    </row>
    <row r="143" spans="1:14" s="55" customFormat="1" ht="22.5" customHeight="1">
      <c r="A143" s="56">
        <v>2500</v>
      </c>
      <c r="B143" s="57" t="s">
        <v>232</v>
      </c>
      <c r="C143" s="57">
        <v>0</v>
      </c>
      <c r="D143" s="57">
        <v>0</v>
      </c>
      <c r="E143" s="298" t="s">
        <v>381</v>
      </c>
      <c r="F143" s="234">
        <f aca="true" t="shared" si="41" ref="F143:K143">SUM(F145,F148,F151,F154,F157,F160,)</f>
        <v>80257</v>
      </c>
      <c r="G143" s="234">
        <f t="shared" si="41"/>
        <v>79257</v>
      </c>
      <c r="H143" s="234">
        <f t="shared" si="41"/>
        <v>1000</v>
      </c>
      <c r="I143" s="234">
        <f t="shared" si="41"/>
        <v>92797</v>
      </c>
      <c r="J143" s="234">
        <f t="shared" si="41"/>
        <v>91197</v>
      </c>
      <c r="K143" s="234">
        <f t="shared" si="41"/>
        <v>1600</v>
      </c>
      <c r="L143" s="234">
        <f>SUM(L145,L148,L151,L154,L157,L160,)</f>
        <v>56551.22</v>
      </c>
      <c r="M143" s="234">
        <f>SUM(M145,M148,M151,M154,M157,M160,)</f>
        <v>55009.244</v>
      </c>
      <c r="N143" s="234">
        <f>SUM(N145,N148,N151,N154,N157,N160,)</f>
        <v>1541.976</v>
      </c>
    </row>
    <row r="144" spans="1:14" ht="11.25" customHeight="1">
      <c r="A144" s="53"/>
      <c r="B144" s="57"/>
      <c r="C144" s="57"/>
      <c r="D144" s="57"/>
      <c r="E144" s="298" t="s">
        <v>21</v>
      </c>
      <c r="F144" s="234"/>
      <c r="G144" s="234"/>
      <c r="H144" s="234"/>
      <c r="I144" s="234"/>
      <c r="J144" s="234"/>
      <c r="K144" s="234"/>
      <c r="L144" s="234"/>
      <c r="M144" s="234"/>
      <c r="N144" s="234"/>
    </row>
    <row r="145" spans="1:14" ht="17.25" customHeight="1">
      <c r="A145" s="56">
        <v>2510</v>
      </c>
      <c r="B145" s="57" t="s">
        <v>232</v>
      </c>
      <c r="C145" s="57">
        <v>1</v>
      </c>
      <c r="D145" s="57">
        <v>0</v>
      </c>
      <c r="E145" s="298" t="s">
        <v>233</v>
      </c>
      <c r="F145" s="234">
        <f aca="true" t="shared" si="42" ref="F145:K145">SUM(F147)</f>
        <v>80257</v>
      </c>
      <c r="G145" s="234">
        <f t="shared" si="42"/>
        <v>79257</v>
      </c>
      <c r="H145" s="234">
        <f t="shared" si="42"/>
        <v>1000</v>
      </c>
      <c r="I145" s="234">
        <f t="shared" si="42"/>
        <v>92797</v>
      </c>
      <c r="J145" s="234">
        <f t="shared" si="42"/>
        <v>91197</v>
      </c>
      <c r="K145" s="234">
        <f t="shared" si="42"/>
        <v>1600</v>
      </c>
      <c r="L145" s="234">
        <f>SUM(L147)</f>
        <v>56551.22</v>
      </c>
      <c r="M145" s="234">
        <f>SUM(M147)</f>
        <v>55009.244</v>
      </c>
      <c r="N145" s="234">
        <f>SUM(N147)</f>
        <v>1541.976</v>
      </c>
    </row>
    <row r="146" spans="1:14" s="58" customFormat="1" ht="10.5" customHeight="1">
      <c r="A146" s="56"/>
      <c r="B146" s="57"/>
      <c r="C146" s="57"/>
      <c r="D146" s="57"/>
      <c r="E146" s="298" t="s">
        <v>139</v>
      </c>
      <c r="F146" s="234"/>
      <c r="G146" s="234"/>
      <c r="H146" s="234"/>
      <c r="I146" s="234"/>
      <c r="J146" s="234"/>
      <c r="K146" s="234"/>
      <c r="L146" s="234"/>
      <c r="M146" s="234"/>
      <c r="N146" s="234"/>
    </row>
    <row r="147" spans="1:14" ht="17.25" customHeight="1">
      <c r="A147" s="56">
        <v>2511</v>
      </c>
      <c r="B147" s="57" t="s">
        <v>232</v>
      </c>
      <c r="C147" s="57">
        <v>1</v>
      </c>
      <c r="D147" s="57">
        <v>1</v>
      </c>
      <c r="E147" s="298" t="s">
        <v>233</v>
      </c>
      <c r="F147" s="234">
        <f>SUM(G147:H147)</f>
        <v>80257</v>
      </c>
      <c r="G147" s="234">
        <f>79257</f>
        <v>79257</v>
      </c>
      <c r="H147" s="234">
        <f>1000</f>
        <v>1000</v>
      </c>
      <c r="I147" s="234">
        <f>SUM(J147:K147)</f>
        <v>92797</v>
      </c>
      <c r="J147" s="234">
        <v>91197</v>
      </c>
      <c r="K147" s="234">
        <f>1000+600</f>
        <v>1600</v>
      </c>
      <c r="L147" s="234">
        <f>SUM(M147:N147)</f>
        <v>56551.22</v>
      </c>
      <c r="M147" s="234">
        <v>55009.244</v>
      </c>
      <c r="N147" s="234">
        <v>1541.976</v>
      </c>
    </row>
    <row r="148" spans="1:14" ht="18.75" customHeight="1">
      <c r="A148" s="56">
        <v>2520</v>
      </c>
      <c r="B148" s="57" t="s">
        <v>232</v>
      </c>
      <c r="C148" s="57">
        <v>2</v>
      </c>
      <c r="D148" s="57">
        <v>0</v>
      </c>
      <c r="E148" s="298" t="s">
        <v>234</v>
      </c>
      <c r="F148" s="234">
        <f aca="true" t="shared" si="43" ref="F148:K148">SUM(F150)</f>
        <v>0</v>
      </c>
      <c r="G148" s="234">
        <f t="shared" si="43"/>
        <v>0</v>
      </c>
      <c r="H148" s="234">
        <f t="shared" si="43"/>
        <v>0</v>
      </c>
      <c r="I148" s="234">
        <f t="shared" si="43"/>
        <v>0</v>
      </c>
      <c r="J148" s="234">
        <f t="shared" si="43"/>
        <v>0</v>
      </c>
      <c r="K148" s="234">
        <f t="shared" si="43"/>
        <v>0</v>
      </c>
      <c r="L148" s="234">
        <f>SUM(L150)</f>
        <v>0</v>
      </c>
      <c r="M148" s="234">
        <f>SUM(M150)</f>
        <v>0</v>
      </c>
      <c r="N148" s="234">
        <f>SUM(N150)</f>
        <v>0</v>
      </c>
    </row>
    <row r="149" spans="1:14" s="58" customFormat="1" ht="10.5" customHeight="1">
      <c r="A149" s="56"/>
      <c r="B149" s="57"/>
      <c r="C149" s="57"/>
      <c r="D149" s="57"/>
      <c r="E149" s="298" t="s">
        <v>139</v>
      </c>
      <c r="F149" s="234"/>
      <c r="G149" s="234"/>
      <c r="H149" s="234"/>
      <c r="I149" s="234"/>
      <c r="J149" s="234"/>
      <c r="K149" s="234"/>
      <c r="L149" s="234"/>
      <c r="M149" s="234"/>
      <c r="N149" s="234"/>
    </row>
    <row r="150" spans="1:14" ht="16.5" customHeight="1">
      <c r="A150" s="56">
        <v>2521</v>
      </c>
      <c r="B150" s="57" t="s">
        <v>232</v>
      </c>
      <c r="C150" s="57">
        <v>2</v>
      </c>
      <c r="D150" s="57">
        <v>1</v>
      </c>
      <c r="E150" s="298" t="s">
        <v>235</v>
      </c>
      <c r="F150" s="234">
        <f>SUM(G150:H150)</f>
        <v>0</v>
      </c>
      <c r="G150" s="234"/>
      <c r="H150" s="234"/>
      <c r="I150" s="234">
        <f>SUM(J150:K150)</f>
        <v>0</v>
      </c>
      <c r="J150" s="234"/>
      <c r="K150" s="234"/>
      <c r="L150" s="234">
        <f>SUM(M150:N150)</f>
        <v>0</v>
      </c>
      <c r="M150" s="234"/>
      <c r="N150" s="234"/>
    </row>
    <row r="151" spans="1:14" ht="19.5" customHeight="1">
      <c r="A151" s="56">
        <v>2530</v>
      </c>
      <c r="B151" s="57" t="s">
        <v>232</v>
      </c>
      <c r="C151" s="57">
        <v>3</v>
      </c>
      <c r="D151" s="57">
        <v>0</v>
      </c>
      <c r="E151" s="298" t="s">
        <v>236</v>
      </c>
      <c r="F151" s="234">
        <f aca="true" t="shared" si="44" ref="F151:K151">SUM(F153)</f>
        <v>0</v>
      </c>
      <c r="G151" s="234">
        <f t="shared" si="44"/>
        <v>0</v>
      </c>
      <c r="H151" s="234">
        <f t="shared" si="44"/>
        <v>0</v>
      </c>
      <c r="I151" s="234">
        <f t="shared" si="44"/>
        <v>0</v>
      </c>
      <c r="J151" s="234">
        <f t="shared" si="44"/>
        <v>0</v>
      </c>
      <c r="K151" s="234">
        <f t="shared" si="44"/>
        <v>0</v>
      </c>
      <c r="L151" s="234">
        <f>SUM(L153)</f>
        <v>0</v>
      </c>
      <c r="M151" s="234">
        <f>SUM(M153)</f>
        <v>0</v>
      </c>
      <c r="N151" s="234">
        <f>SUM(N153)</f>
        <v>0</v>
      </c>
    </row>
    <row r="152" spans="1:14" s="58" customFormat="1" ht="10.5" customHeight="1">
      <c r="A152" s="56"/>
      <c r="B152" s="57"/>
      <c r="C152" s="57"/>
      <c r="D152" s="57"/>
      <c r="E152" s="298" t="s">
        <v>139</v>
      </c>
      <c r="F152" s="234"/>
      <c r="G152" s="234"/>
      <c r="H152" s="234"/>
      <c r="I152" s="234"/>
      <c r="J152" s="234"/>
      <c r="K152" s="234"/>
      <c r="L152" s="234"/>
      <c r="M152" s="234"/>
      <c r="N152" s="234"/>
    </row>
    <row r="153" spans="1:14" ht="16.5" customHeight="1">
      <c r="A153" s="56">
        <v>2531</v>
      </c>
      <c r="B153" s="57" t="s">
        <v>232</v>
      </c>
      <c r="C153" s="57">
        <v>3</v>
      </c>
      <c r="D153" s="57">
        <v>1</v>
      </c>
      <c r="E153" s="298" t="s">
        <v>236</v>
      </c>
      <c r="F153" s="234">
        <f>SUM(G153:H153)</f>
        <v>0</v>
      </c>
      <c r="G153" s="234"/>
      <c r="H153" s="234"/>
      <c r="I153" s="234">
        <f>SUM(J153:K153)</f>
        <v>0</v>
      </c>
      <c r="J153" s="234"/>
      <c r="K153" s="234"/>
      <c r="L153" s="234">
        <f>SUM(M153:N153)</f>
        <v>0</v>
      </c>
      <c r="M153" s="234"/>
      <c r="N153" s="234"/>
    </row>
    <row r="154" spans="1:14" ht="24.75" customHeight="1">
      <c r="A154" s="56">
        <v>2540</v>
      </c>
      <c r="B154" s="57" t="s">
        <v>232</v>
      </c>
      <c r="C154" s="57">
        <v>4</v>
      </c>
      <c r="D154" s="57">
        <v>0</v>
      </c>
      <c r="E154" s="298" t="s">
        <v>237</v>
      </c>
      <c r="F154" s="234">
        <f aca="true" t="shared" si="45" ref="F154:K154">SUM(F156)</f>
        <v>0</v>
      </c>
      <c r="G154" s="234">
        <f t="shared" si="45"/>
        <v>0</v>
      </c>
      <c r="H154" s="234">
        <f t="shared" si="45"/>
        <v>0</v>
      </c>
      <c r="I154" s="234">
        <f t="shared" si="45"/>
        <v>0</v>
      </c>
      <c r="J154" s="234">
        <f t="shared" si="45"/>
        <v>0</v>
      </c>
      <c r="K154" s="234">
        <f t="shared" si="45"/>
        <v>0</v>
      </c>
      <c r="L154" s="234">
        <f>SUM(L156)</f>
        <v>0</v>
      </c>
      <c r="M154" s="234">
        <f>SUM(M156)</f>
        <v>0</v>
      </c>
      <c r="N154" s="234">
        <f>SUM(N156)</f>
        <v>0</v>
      </c>
    </row>
    <row r="155" spans="1:14" s="58" customFormat="1" ht="9" customHeight="1">
      <c r="A155" s="56"/>
      <c r="B155" s="57"/>
      <c r="C155" s="57"/>
      <c r="D155" s="57"/>
      <c r="E155" s="298" t="s">
        <v>139</v>
      </c>
      <c r="F155" s="234"/>
      <c r="G155" s="234"/>
      <c r="H155" s="234"/>
      <c r="I155" s="234"/>
      <c r="J155" s="234"/>
      <c r="K155" s="234"/>
      <c r="L155" s="234"/>
      <c r="M155" s="234"/>
      <c r="N155" s="234"/>
    </row>
    <row r="156" spans="1:14" ht="13.5" customHeight="1">
      <c r="A156" s="56">
        <v>2541</v>
      </c>
      <c r="B156" s="57" t="s">
        <v>232</v>
      </c>
      <c r="C156" s="57">
        <v>4</v>
      </c>
      <c r="D156" s="57">
        <v>1</v>
      </c>
      <c r="E156" s="298" t="s">
        <v>237</v>
      </c>
      <c r="F156" s="234">
        <f>SUM(G156:H156)</f>
        <v>0</v>
      </c>
      <c r="G156" s="234"/>
      <c r="H156" s="234"/>
      <c r="I156" s="234">
        <f>SUM(J156:K156)</f>
        <v>0</v>
      </c>
      <c r="J156" s="234"/>
      <c r="K156" s="234"/>
      <c r="L156" s="234">
        <f>SUM(M156:N156)</f>
        <v>0</v>
      </c>
      <c r="M156" s="234"/>
      <c r="N156" s="234"/>
    </row>
    <row r="157" spans="1:14" ht="27" customHeight="1">
      <c r="A157" s="56">
        <v>2550</v>
      </c>
      <c r="B157" s="57" t="s">
        <v>232</v>
      </c>
      <c r="C157" s="57">
        <v>5</v>
      </c>
      <c r="D157" s="57">
        <v>0</v>
      </c>
      <c r="E157" s="298" t="s">
        <v>238</v>
      </c>
      <c r="F157" s="234">
        <f aca="true" t="shared" si="46" ref="F157:K157">SUM(F159)</f>
        <v>0</v>
      </c>
      <c r="G157" s="234">
        <f t="shared" si="46"/>
        <v>0</v>
      </c>
      <c r="H157" s="234">
        <f t="shared" si="46"/>
        <v>0</v>
      </c>
      <c r="I157" s="234">
        <f t="shared" si="46"/>
        <v>0</v>
      </c>
      <c r="J157" s="234">
        <f t="shared" si="46"/>
        <v>0</v>
      </c>
      <c r="K157" s="234">
        <f t="shared" si="46"/>
        <v>0</v>
      </c>
      <c r="L157" s="234">
        <f>SUM(L159)</f>
        <v>0</v>
      </c>
      <c r="M157" s="234">
        <f>SUM(M159)</f>
        <v>0</v>
      </c>
      <c r="N157" s="234">
        <f>SUM(N159)</f>
        <v>0</v>
      </c>
    </row>
    <row r="158" spans="1:14" s="58" customFormat="1" ht="14.25" customHeight="1">
      <c r="A158" s="56"/>
      <c r="B158" s="57"/>
      <c r="C158" s="57"/>
      <c r="D158" s="57"/>
      <c r="E158" s="298" t="s">
        <v>139</v>
      </c>
      <c r="F158" s="234"/>
      <c r="G158" s="234"/>
      <c r="H158" s="234"/>
      <c r="I158" s="234"/>
      <c r="J158" s="234"/>
      <c r="K158" s="234"/>
      <c r="L158" s="234"/>
      <c r="M158" s="234"/>
      <c r="N158" s="234"/>
    </row>
    <row r="159" spans="1:14" ht="23.25" customHeight="1">
      <c r="A159" s="56">
        <v>2551</v>
      </c>
      <c r="B159" s="57" t="s">
        <v>232</v>
      </c>
      <c r="C159" s="57">
        <v>5</v>
      </c>
      <c r="D159" s="57">
        <v>1</v>
      </c>
      <c r="E159" s="298" t="s">
        <v>238</v>
      </c>
      <c r="F159" s="234">
        <f>SUM(G159:H159)</f>
        <v>0</v>
      </c>
      <c r="G159" s="234"/>
      <c r="H159" s="234"/>
      <c r="I159" s="234">
        <f>SUM(J159:K159)</f>
        <v>0</v>
      </c>
      <c r="J159" s="234"/>
      <c r="K159" s="234"/>
      <c r="L159" s="234">
        <f>SUM(M159:N159)</f>
        <v>0</v>
      </c>
      <c r="M159" s="234"/>
      <c r="N159" s="234"/>
    </row>
    <row r="160" spans="1:14" ht="21" customHeight="1">
      <c r="A160" s="56">
        <v>2560</v>
      </c>
      <c r="B160" s="57" t="s">
        <v>232</v>
      </c>
      <c r="C160" s="57">
        <v>6</v>
      </c>
      <c r="D160" s="57">
        <v>0</v>
      </c>
      <c r="E160" s="298" t="s">
        <v>239</v>
      </c>
      <c r="F160" s="234">
        <f aca="true" t="shared" si="47" ref="F160:K160">SUM(F162)</f>
        <v>0</v>
      </c>
      <c r="G160" s="234">
        <f t="shared" si="47"/>
        <v>0</v>
      </c>
      <c r="H160" s="234">
        <f t="shared" si="47"/>
        <v>0</v>
      </c>
      <c r="I160" s="234">
        <f t="shared" si="47"/>
        <v>0</v>
      </c>
      <c r="J160" s="234">
        <f t="shared" si="47"/>
        <v>0</v>
      </c>
      <c r="K160" s="234">
        <f t="shared" si="47"/>
        <v>0</v>
      </c>
      <c r="L160" s="234">
        <f>SUM(L162)</f>
        <v>0</v>
      </c>
      <c r="M160" s="234">
        <f>SUM(M162)</f>
        <v>0</v>
      </c>
      <c r="N160" s="234">
        <f>SUM(N162)</f>
        <v>0</v>
      </c>
    </row>
    <row r="161" spans="1:14" s="58" customFormat="1" ht="10.5" customHeight="1">
      <c r="A161" s="56"/>
      <c r="B161" s="57"/>
      <c r="C161" s="57"/>
      <c r="D161" s="57"/>
      <c r="E161" s="298" t="s">
        <v>139</v>
      </c>
      <c r="F161" s="234"/>
      <c r="G161" s="234"/>
      <c r="H161" s="234"/>
      <c r="I161" s="234"/>
      <c r="J161" s="234"/>
      <c r="K161" s="234"/>
      <c r="L161" s="234"/>
      <c r="M161" s="234"/>
      <c r="N161" s="234"/>
    </row>
    <row r="162" spans="1:14" ht="27.75" customHeight="1">
      <c r="A162" s="56">
        <v>2561</v>
      </c>
      <c r="B162" s="57" t="s">
        <v>232</v>
      </c>
      <c r="C162" s="57">
        <v>6</v>
      </c>
      <c r="D162" s="57">
        <v>1</v>
      </c>
      <c r="E162" s="298" t="s">
        <v>239</v>
      </c>
      <c r="F162" s="234">
        <f>SUM(G162:H162)</f>
        <v>0</v>
      </c>
      <c r="G162" s="234"/>
      <c r="H162" s="234"/>
      <c r="I162" s="234">
        <f>SUM(J162:K162)</f>
        <v>0</v>
      </c>
      <c r="J162" s="234"/>
      <c r="K162" s="234"/>
      <c r="L162" s="234">
        <f>SUM(M162:N162)</f>
        <v>0</v>
      </c>
      <c r="M162" s="234"/>
      <c r="N162" s="234"/>
    </row>
    <row r="163" spans="1:14" s="55" customFormat="1" ht="37.5" customHeight="1">
      <c r="A163" s="56">
        <v>2600</v>
      </c>
      <c r="B163" s="57" t="s">
        <v>240</v>
      </c>
      <c r="C163" s="57">
        <v>0</v>
      </c>
      <c r="D163" s="57">
        <v>0</v>
      </c>
      <c r="E163" s="298" t="s">
        <v>382</v>
      </c>
      <c r="F163" s="234">
        <f aca="true" t="shared" si="48" ref="F163:K163">SUM(F165,F168,F171,F174,F177,F180,)</f>
        <v>89856.9</v>
      </c>
      <c r="G163" s="234">
        <f t="shared" si="48"/>
        <v>64553.9</v>
      </c>
      <c r="H163" s="234">
        <f t="shared" si="48"/>
        <v>25303</v>
      </c>
      <c r="I163" s="234">
        <f t="shared" si="48"/>
        <v>138280.179</v>
      </c>
      <c r="J163" s="234">
        <f t="shared" si="48"/>
        <v>69413.179</v>
      </c>
      <c r="K163" s="234">
        <f t="shared" si="48"/>
        <v>68867</v>
      </c>
      <c r="L163" s="234">
        <f>SUM(L165,L168,L171,L174,L177,L180,)</f>
        <v>61479.696</v>
      </c>
      <c r="M163" s="234">
        <f>SUM(M165,M168,M171,M174,M177,M180,)</f>
        <v>46823.445</v>
      </c>
      <c r="N163" s="234">
        <f>SUM(N165,N168,N171,N174,N177,N180,)</f>
        <v>14656.251</v>
      </c>
    </row>
    <row r="164" spans="1:14" ht="11.25" customHeight="1">
      <c r="A164" s="53"/>
      <c r="B164" s="57"/>
      <c r="C164" s="57"/>
      <c r="D164" s="57"/>
      <c r="E164" s="298" t="s">
        <v>21</v>
      </c>
      <c r="F164" s="234"/>
      <c r="G164" s="234"/>
      <c r="H164" s="234"/>
      <c r="I164" s="234"/>
      <c r="J164" s="234"/>
      <c r="K164" s="234"/>
      <c r="L164" s="234"/>
      <c r="M164" s="234"/>
      <c r="N164" s="234"/>
    </row>
    <row r="165" spans="1:14" ht="16.5" customHeight="1">
      <c r="A165" s="56">
        <v>2610</v>
      </c>
      <c r="B165" s="57" t="s">
        <v>240</v>
      </c>
      <c r="C165" s="57">
        <v>1</v>
      </c>
      <c r="D165" s="57">
        <v>0</v>
      </c>
      <c r="E165" s="298" t="s">
        <v>241</v>
      </c>
      <c r="F165" s="234">
        <f aca="true" t="shared" si="49" ref="F165:K165">SUM(F167)</f>
        <v>25303</v>
      </c>
      <c r="G165" s="234">
        <f t="shared" si="49"/>
        <v>0</v>
      </c>
      <c r="H165" s="234">
        <f t="shared" si="49"/>
        <v>25303</v>
      </c>
      <c r="I165" s="234">
        <f t="shared" si="49"/>
        <v>66203</v>
      </c>
      <c r="J165" s="234">
        <f t="shared" si="49"/>
        <v>0</v>
      </c>
      <c r="K165" s="234">
        <f t="shared" si="49"/>
        <v>66203</v>
      </c>
      <c r="L165" s="234">
        <f>SUM(L167)</f>
        <v>13327.917</v>
      </c>
      <c r="M165" s="234">
        <f>SUM(M167)</f>
        <v>0</v>
      </c>
      <c r="N165" s="234">
        <f>SUM(N167)</f>
        <v>13327.917</v>
      </c>
    </row>
    <row r="166" spans="1:14" s="58" customFormat="1" ht="10.5" customHeight="1">
      <c r="A166" s="56"/>
      <c r="B166" s="57"/>
      <c r="C166" s="57"/>
      <c r="D166" s="57"/>
      <c r="E166" s="298" t="s">
        <v>139</v>
      </c>
      <c r="F166" s="234"/>
      <c r="G166" s="234"/>
      <c r="H166" s="234"/>
      <c r="I166" s="234"/>
      <c r="J166" s="234"/>
      <c r="K166" s="234"/>
      <c r="L166" s="234"/>
      <c r="M166" s="234"/>
      <c r="N166" s="234"/>
    </row>
    <row r="167" spans="1:14" ht="12" customHeight="1">
      <c r="A167" s="56">
        <v>2611</v>
      </c>
      <c r="B167" s="57" t="s">
        <v>240</v>
      </c>
      <c r="C167" s="57">
        <v>1</v>
      </c>
      <c r="D167" s="57">
        <v>1</v>
      </c>
      <c r="E167" s="298" t="s">
        <v>242</v>
      </c>
      <c r="F167" s="234">
        <f>SUM(G167:H167)</f>
        <v>25303</v>
      </c>
      <c r="G167" s="234"/>
      <c r="H167" s="234">
        <f>25303</f>
        <v>25303</v>
      </c>
      <c r="I167" s="234">
        <f>SUM(J167:K167)</f>
        <v>66203</v>
      </c>
      <c r="J167" s="234"/>
      <c r="K167" s="234">
        <f>25303+900+40000</f>
        <v>66203</v>
      </c>
      <c r="L167" s="234">
        <f>SUM(M167:N167)</f>
        <v>13327.917</v>
      </c>
      <c r="M167" s="234"/>
      <c r="N167" s="234">
        <v>13327.917</v>
      </c>
    </row>
    <row r="168" spans="1:14" ht="14.25" customHeight="1">
      <c r="A168" s="56">
        <v>2620</v>
      </c>
      <c r="B168" s="57" t="s">
        <v>240</v>
      </c>
      <c r="C168" s="57">
        <v>2</v>
      </c>
      <c r="D168" s="57">
        <v>0</v>
      </c>
      <c r="E168" s="298" t="s">
        <v>243</v>
      </c>
      <c r="F168" s="234">
        <f aca="true" t="shared" si="50" ref="F168:K168">SUM(F170)</f>
        <v>0</v>
      </c>
      <c r="G168" s="234">
        <f t="shared" si="50"/>
        <v>0</v>
      </c>
      <c r="H168" s="234">
        <f t="shared" si="50"/>
        <v>0</v>
      </c>
      <c r="I168" s="234">
        <f t="shared" si="50"/>
        <v>0</v>
      </c>
      <c r="J168" s="234">
        <f t="shared" si="50"/>
        <v>0</v>
      </c>
      <c r="K168" s="234">
        <f t="shared" si="50"/>
        <v>0</v>
      </c>
      <c r="L168" s="234">
        <f>SUM(L170)</f>
        <v>0</v>
      </c>
      <c r="M168" s="234">
        <f>SUM(M170)</f>
        <v>0</v>
      </c>
      <c r="N168" s="234">
        <f>SUM(N170)</f>
        <v>0</v>
      </c>
    </row>
    <row r="169" spans="1:14" s="58" customFormat="1" ht="10.5" customHeight="1">
      <c r="A169" s="56"/>
      <c r="B169" s="57"/>
      <c r="C169" s="57"/>
      <c r="D169" s="57"/>
      <c r="E169" s="298" t="s">
        <v>139</v>
      </c>
      <c r="F169" s="234"/>
      <c r="G169" s="234"/>
      <c r="H169" s="234"/>
      <c r="I169" s="234"/>
      <c r="J169" s="234"/>
      <c r="K169" s="234"/>
      <c r="L169" s="234"/>
      <c r="M169" s="234"/>
      <c r="N169" s="234"/>
    </row>
    <row r="170" spans="1:14" ht="13.5" customHeight="1">
      <c r="A170" s="56">
        <v>2621</v>
      </c>
      <c r="B170" s="57" t="s">
        <v>240</v>
      </c>
      <c r="C170" s="57">
        <v>2</v>
      </c>
      <c r="D170" s="57">
        <v>1</v>
      </c>
      <c r="E170" s="298" t="s">
        <v>243</v>
      </c>
      <c r="F170" s="234">
        <f>SUM(G170:H170)</f>
        <v>0</v>
      </c>
      <c r="G170" s="234"/>
      <c r="H170" s="234"/>
      <c r="I170" s="234">
        <f>SUM(J170:K170)</f>
        <v>0</v>
      </c>
      <c r="J170" s="234"/>
      <c r="K170" s="234"/>
      <c r="L170" s="234">
        <f>SUM(M170:N170)</f>
        <v>0</v>
      </c>
      <c r="M170" s="234"/>
      <c r="N170" s="234"/>
    </row>
    <row r="171" spans="1:14" ht="14.25" customHeight="1">
      <c r="A171" s="56">
        <v>2630</v>
      </c>
      <c r="B171" s="57" t="s">
        <v>240</v>
      </c>
      <c r="C171" s="57">
        <v>3</v>
      </c>
      <c r="D171" s="57">
        <v>0</v>
      </c>
      <c r="E171" s="298" t="s">
        <v>244</v>
      </c>
      <c r="F171" s="234">
        <f aca="true" t="shared" si="51" ref="F171:K171">SUM(F173)</f>
        <v>1958</v>
      </c>
      <c r="G171" s="234">
        <f t="shared" si="51"/>
        <v>1958</v>
      </c>
      <c r="H171" s="234">
        <f t="shared" si="51"/>
        <v>0</v>
      </c>
      <c r="I171" s="234">
        <f t="shared" si="51"/>
        <v>5487.279</v>
      </c>
      <c r="J171" s="234">
        <f t="shared" si="51"/>
        <v>5487.279</v>
      </c>
      <c r="K171" s="234">
        <f t="shared" si="51"/>
        <v>0</v>
      </c>
      <c r="L171" s="234">
        <f>SUM(L173)</f>
        <v>1749.1</v>
      </c>
      <c r="M171" s="234">
        <f>SUM(M173)</f>
        <v>1749.1</v>
      </c>
      <c r="N171" s="234">
        <f>SUM(N173)</f>
        <v>0</v>
      </c>
    </row>
    <row r="172" spans="1:14" s="58" customFormat="1" ht="12.75" customHeight="1">
      <c r="A172" s="56"/>
      <c r="B172" s="57"/>
      <c r="C172" s="57"/>
      <c r="D172" s="57"/>
      <c r="E172" s="298" t="s">
        <v>139</v>
      </c>
      <c r="F172" s="234"/>
      <c r="G172" s="234"/>
      <c r="H172" s="234"/>
      <c r="I172" s="234"/>
      <c r="J172" s="234"/>
      <c r="K172" s="234"/>
      <c r="L172" s="234"/>
      <c r="M172" s="234"/>
      <c r="N172" s="234"/>
    </row>
    <row r="173" spans="1:14" ht="15" customHeight="1">
      <c r="A173" s="56">
        <v>2631</v>
      </c>
      <c r="B173" s="57" t="s">
        <v>240</v>
      </c>
      <c r="C173" s="57">
        <v>3</v>
      </c>
      <c r="D173" s="57">
        <v>1</v>
      </c>
      <c r="E173" s="298" t="s">
        <v>245</v>
      </c>
      <c r="F173" s="234">
        <f>SUM(G173:H173)</f>
        <v>1958</v>
      </c>
      <c r="G173" s="234">
        <f>1958</f>
        <v>1958</v>
      </c>
      <c r="H173" s="234"/>
      <c r="I173" s="234">
        <f>SUM(J173:K173)</f>
        <v>5487.279</v>
      </c>
      <c r="J173" s="234">
        <v>5487.279</v>
      </c>
      <c r="K173" s="234"/>
      <c r="L173" s="234">
        <f>SUM(M173:N173)</f>
        <v>1749.1</v>
      </c>
      <c r="M173" s="234">
        <v>1749.1</v>
      </c>
      <c r="N173" s="234"/>
    </row>
    <row r="174" spans="1:14" ht="15.75" customHeight="1">
      <c r="A174" s="56">
        <v>2640</v>
      </c>
      <c r="B174" s="57" t="s">
        <v>240</v>
      </c>
      <c r="C174" s="57">
        <v>4</v>
      </c>
      <c r="D174" s="57">
        <v>0</v>
      </c>
      <c r="E174" s="298" t="s">
        <v>246</v>
      </c>
      <c r="F174" s="234">
        <f aca="true" t="shared" si="52" ref="F174:K174">SUM(F176)</f>
        <v>49103.9</v>
      </c>
      <c r="G174" s="234">
        <f t="shared" si="52"/>
        <v>49103.9</v>
      </c>
      <c r="H174" s="234">
        <f t="shared" si="52"/>
        <v>0</v>
      </c>
      <c r="I174" s="234">
        <f t="shared" si="52"/>
        <v>53097.9</v>
      </c>
      <c r="J174" s="234">
        <f t="shared" si="52"/>
        <v>50433.9</v>
      </c>
      <c r="K174" s="234">
        <f t="shared" si="52"/>
        <v>2664</v>
      </c>
      <c r="L174" s="234">
        <f>SUM(L176)</f>
        <v>38566.698000000004</v>
      </c>
      <c r="M174" s="234">
        <f>SUM(M176)</f>
        <v>37238.364</v>
      </c>
      <c r="N174" s="234">
        <f>SUM(N176)</f>
        <v>1328.334</v>
      </c>
    </row>
    <row r="175" spans="1:14" s="58" customFormat="1" ht="14.25" customHeight="1">
      <c r="A175" s="56"/>
      <c r="B175" s="57"/>
      <c r="C175" s="57"/>
      <c r="D175" s="57"/>
      <c r="E175" s="298" t="s">
        <v>139</v>
      </c>
      <c r="F175" s="234"/>
      <c r="G175" s="234"/>
      <c r="H175" s="234"/>
      <c r="I175" s="234"/>
      <c r="J175" s="234"/>
      <c r="K175" s="234"/>
      <c r="L175" s="234"/>
      <c r="M175" s="234"/>
      <c r="N175" s="234"/>
    </row>
    <row r="176" spans="1:14" ht="13.5" customHeight="1">
      <c r="A176" s="56">
        <v>2641</v>
      </c>
      <c r="B176" s="57" t="s">
        <v>240</v>
      </c>
      <c r="C176" s="57">
        <v>4</v>
      </c>
      <c r="D176" s="57">
        <v>1</v>
      </c>
      <c r="E176" s="298" t="s">
        <v>247</v>
      </c>
      <c r="F176" s="234">
        <f>SUM(G176:H176)</f>
        <v>49103.9</v>
      </c>
      <c r="G176" s="234">
        <f>49103.9</f>
        <v>49103.9</v>
      </c>
      <c r="H176" s="234"/>
      <c r="I176" s="234">
        <f>SUM(J176:K176)</f>
        <v>53097.9</v>
      </c>
      <c r="J176" s="234">
        <f>49103.9+1330</f>
        <v>50433.9</v>
      </c>
      <c r="K176" s="234">
        <f>2664</f>
        <v>2664</v>
      </c>
      <c r="L176" s="234">
        <f>SUM(M176:N176)</f>
        <v>38566.698000000004</v>
      </c>
      <c r="M176" s="234">
        <v>37238.364</v>
      </c>
      <c r="N176" s="234">
        <v>1328.334</v>
      </c>
    </row>
    <row r="177" spans="1:14" ht="35.25" customHeight="1">
      <c r="A177" s="56">
        <v>2650</v>
      </c>
      <c r="B177" s="57" t="s">
        <v>240</v>
      </c>
      <c r="C177" s="57">
        <v>5</v>
      </c>
      <c r="D177" s="57">
        <v>0</v>
      </c>
      <c r="E177" s="298" t="s">
        <v>248</v>
      </c>
      <c r="F177" s="234">
        <f aca="true" t="shared" si="53" ref="F177:K177">SUM(F179)</f>
        <v>0</v>
      </c>
      <c r="G177" s="234">
        <f t="shared" si="53"/>
        <v>0</v>
      </c>
      <c r="H177" s="234">
        <f t="shared" si="53"/>
        <v>0</v>
      </c>
      <c r="I177" s="234">
        <f t="shared" si="53"/>
        <v>0</v>
      </c>
      <c r="J177" s="234">
        <f t="shared" si="53"/>
        <v>0</v>
      </c>
      <c r="K177" s="234">
        <f t="shared" si="53"/>
        <v>0</v>
      </c>
      <c r="L177" s="234">
        <f>SUM(L179)</f>
        <v>0</v>
      </c>
      <c r="M177" s="234">
        <f>SUM(M179)</f>
        <v>0</v>
      </c>
      <c r="N177" s="234">
        <f>SUM(N179)</f>
        <v>0</v>
      </c>
    </row>
    <row r="178" spans="1:14" s="58" customFormat="1" ht="11.25" customHeight="1">
      <c r="A178" s="56"/>
      <c r="B178" s="57"/>
      <c r="C178" s="57"/>
      <c r="D178" s="57"/>
      <c r="E178" s="298" t="s">
        <v>139</v>
      </c>
      <c r="F178" s="234"/>
      <c r="G178" s="234"/>
      <c r="H178" s="234"/>
      <c r="I178" s="234"/>
      <c r="J178" s="234"/>
      <c r="K178" s="234"/>
      <c r="L178" s="234"/>
      <c r="M178" s="234"/>
      <c r="N178" s="234"/>
    </row>
    <row r="179" spans="1:14" ht="37.5" customHeight="1">
      <c r="A179" s="56">
        <v>2651</v>
      </c>
      <c r="B179" s="57" t="s">
        <v>240</v>
      </c>
      <c r="C179" s="57">
        <v>5</v>
      </c>
      <c r="D179" s="57">
        <v>1</v>
      </c>
      <c r="E179" s="298" t="s">
        <v>248</v>
      </c>
      <c r="F179" s="234">
        <f>SUM(G179:H179)</f>
        <v>0</v>
      </c>
      <c r="G179" s="234"/>
      <c r="H179" s="234"/>
      <c r="I179" s="234">
        <f>SUM(J179:K179)</f>
        <v>0</v>
      </c>
      <c r="J179" s="234"/>
      <c r="K179" s="234"/>
      <c r="L179" s="234">
        <f>SUM(M179:N179)</f>
        <v>0</v>
      </c>
      <c r="M179" s="234"/>
      <c r="N179" s="234"/>
    </row>
    <row r="180" spans="1:14" ht="29.25" customHeight="1">
      <c r="A180" s="56">
        <v>2660</v>
      </c>
      <c r="B180" s="57" t="s">
        <v>240</v>
      </c>
      <c r="C180" s="57">
        <v>6</v>
      </c>
      <c r="D180" s="57">
        <v>0</v>
      </c>
      <c r="E180" s="298" t="s">
        <v>249</v>
      </c>
      <c r="F180" s="234">
        <f aca="true" t="shared" si="54" ref="F180:K180">SUM(F182)</f>
        <v>13492</v>
      </c>
      <c r="G180" s="234">
        <f t="shared" si="54"/>
        <v>13492</v>
      </c>
      <c r="H180" s="234">
        <f t="shared" si="54"/>
        <v>0</v>
      </c>
      <c r="I180" s="234">
        <f t="shared" si="54"/>
        <v>13492</v>
      </c>
      <c r="J180" s="234">
        <f t="shared" si="54"/>
        <v>13492</v>
      </c>
      <c r="K180" s="234">
        <f t="shared" si="54"/>
        <v>0</v>
      </c>
      <c r="L180" s="234">
        <f>SUM(L182)</f>
        <v>7835.981</v>
      </c>
      <c r="M180" s="234">
        <f>SUM(M182)</f>
        <v>7835.981</v>
      </c>
      <c r="N180" s="234">
        <f>SUM(N182)</f>
        <v>0</v>
      </c>
    </row>
    <row r="181" spans="1:14" s="58" customFormat="1" ht="14.25" customHeight="1">
      <c r="A181" s="56"/>
      <c r="B181" s="57"/>
      <c r="C181" s="57"/>
      <c r="D181" s="57"/>
      <c r="E181" s="298" t="s">
        <v>139</v>
      </c>
      <c r="F181" s="234"/>
      <c r="G181" s="234"/>
      <c r="H181" s="234"/>
      <c r="I181" s="234"/>
      <c r="J181" s="234"/>
      <c r="K181" s="234"/>
      <c r="L181" s="234"/>
      <c r="M181" s="234"/>
      <c r="N181" s="234"/>
    </row>
    <row r="182" spans="1:14" ht="26.25" customHeight="1">
      <c r="A182" s="56">
        <v>2661</v>
      </c>
      <c r="B182" s="57" t="s">
        <v>240</v>
      </c>
      <c r="C182" s="57">
        <v>6</v>
      </c>
      <c r="D182" s="57">
        <v>1</v>
      </c>
      <c r="E182" s="298" t="s">
        <v>249</v>
      </c>
      <c r="F182" s="234">
        <f>SUM(G182:H182)</f>
        <v>13492</v>
      </c>
      <c r="G182" s="234">
        <f>13492</f>
        <v>13492</v>
      </c>
      <c r="H182" s="234"/>
      <c r="I182" s="234">
        <f>SUM(J182:K182)</f>
        <v>13492</v>
      </c>
      <c r="J182" s="234">
        <f>13492</f>
        <v>13492</v>
      </c>
      <c r="K182" s="234"/>
      <c r="L182" s="234">
        <f>SUM(M182:N182)</f>
        <v>7835.981</v>
      </c>
      <c r="M182" s="234">
        <v>7835.981</v>
      </c>
      <c r="N182" s="234"/>
    </row>
    <row r="183" spans="1:14" s="55" customFormat="1" ht="21.75" customHeight="1">
      <c r="A183" s="56">
        <v>2700</v>
      </c>
      <c r="B183" s="57" t="s">
        <v>250</v>
      </c>
      <c r="C183" s="57">
        <v>0</v>
      </c>
      <c r="D183" s="57">
        <v>0</v>
      </c>
      <c r="E183" s="298" t="s">
        <v>383</v>
      </c>
      <c r="F183" s="234">
        <f aca="true" t="shared" si="55" ref="F183:K183">SUM(F185,F190,F196,F202,F205,F208)</f>
        <v>0</v>
      </c>
      <c r="G183" s="234">
        <f t="shared" si="55"/>
        <v>0</v>
      </c>
      <c r="H183" s="234">
        <f t="shared" si="55"/>
        <v>0</v>
      </c>
      <c r="I183" s="234">
        <f t="shared" si="55"/>
        <v>0</v>
      </c>
      <c r="J183" s="234">
        <f t="shared" si="55"/>
        <v>0</v>
      </c>
      <c r="K183" s="234">
        <f t="shared" si="55"/>
        <v>0</v>
      </c>
      <c r="L183" s="234">
        <f>SUM(L185,L190,L196,L202,L205,L208)</f>
        <v>0</v>
      </c>
      <c r="M183" s="234">
        <f>SUM(M185,M190,M196,M202,M205,M208)</f>
        <v>0</v>
      </c>
      <c r="N183" s="234">
        <f>SUM(N185,N190,N196,N202,N205,N208)</f>
        <v>0</v>
      </c>
    </row>
    <row r="184" spans="1:14" ht="11.25" customHeight="1">
      <c r="A184" s="53"/>
      <c r="B184" s="57"/>
      <c r="C184" s="57"/>
      <c r="D184" s="57"/>
      <c r="E184" s="298" t="s">
        <v>21</v>
      </c>
      <c r="F184" s="234"/>
      <c r="G184" s="234"/>
      <c r="H184" s="234"/>
      <c r="I184" s="234"/>
      <c r="J184" s="234"/>
      <c r="K184" s="234"/>
      <c r="L184" s="234"/>
      <c r="M184" s="234"/>
      <c r="N184" s="234"/>
    </row>
    <row r="185" spans="1:14" ht="12" customHeight="1">
      <c r="A185" s="56">
        <v>2710</v>
      </c>
      <c r="B185" s="57" t="s">
        <v>250</v>
      </c>
      <c r="C185" s="57">
        <v>1</v>
      </c>
      <c r="D185" s="57">
        <v>0</v>
      </c>
      <c r="E185" s="298" t="s">
        <v>251</v>
      </c>
      <c r="F185" s="234">
        <f aca="true" t="shared" si="56" ref="F185:K185">SUM(F187:F189)</f>
        <v>0</v>
      </c>
      <c r="G185" s="234">
        <f t="shared" si="56"/>
        <v>0</v>
      </c>
      <c r="H185" s="234">
        <f t="shared" si="56"/>
        <v>0</v>
      </c>
      <c r="I185" s="234">
        <f t="shared" si="56"/>
        <v>0</v>
      </c>
      <c r="J185" s="234">
        <f t="shared" si="56"/>
        <v>0</v>
      </c>
      <c r="K185" s="234">
        <f t="shared" si="56"/>
        <v>0</v>
      </c>
      <c r="L185" s="234">
        <f>SUM(L187:L189)</f>
        <v>0</v>
      </c>
      <c r="M185" s="234">
        <f>SUM(M187:M189)</f>
        <v>0</v>
      </c>
      <c r="N185" s="234">
        <f>SUM(N187:N189)</f>
        <v>0</v>
      </c>
    </row>
    <row r="186" spans="1:14" s="58" customFormat="1" ht="14.25" customHeight="1">
      <c r="A186" s="56"/>
      <c r="B186" s="57"/>
      <c r="C186" s="57"/>
      <c r="D186" s="57"/>
      <c r="E186" s="298" t="s">
        <v>139</v>
      </c>
      <c r="F186" s="234"/>
      <c r="G186" s="234"/>
      <c r="H186" s="234"/>
      <c r="I186" s="234"/>
      <c r="J186" s="234"/>
      <c r="K186" s="234"/>
      <c r="L186" s="234"/>
      <c r="M186" s="234"/>
      <c r="N186" s="234"/>
    </row>
    <row r="187" spans="1:14" ht="14.25" customHeight="1">
      <c r="A187" s="56">
        <v>2711</v>
      </c>
      <c r="B187" s="57" t="s">
        <v>250</v>
      </c>
      <c r="C187" s="57">
        <v>1</v>
      </c>
      <c r="D187" s="57">
        <v>1</v>
      </c>
      <c r="E187" s="298" t="s">
        <v>252</v>
      </c>
      <c r="F187" s="234">
        <f>SUM(G187:H187)</f>
        <v>0</v>
      </c>
      <c r="G187" s="234"/>
      <c r="H187" s="234"/>
      <c r="I187" s="234">
        <f>SUM(J187:K187)</f>
        <v>0</v>
      </c>
      <c r="J187" s="234"/>
      <c r="K187" s="234"/>
      <c r="L187" s="234">
        <f>SUM(M187:N187)</f>
        <v>0</v>
      </c>
      <c r="M187" s="234"/>
      <c r="N187" s="234"/>
    </row>
    <row r="188" spans="1:14" ht="14.25" customHeight="1">
      <c r="A188" s="56">
        <v>2712</v>
      </c>
      <c r="B188" s="57" t="s">
        <v>250</v>
      </c>
      <c r="C188" s="57">
        <v>1</v>
      </c>
      <c r="D188" s="57">
        <v>2</v>
      </c>
      <c r="E188" s="298" t="s">
        <v>253</v>
      </c>
      <c r="F188" s="234">
        <f>SUM(G188:H188)</f>
        <v>0</v>
      </c>
      <c r="G188" s="234"/>
      <c r="H188" s="234"/>
      <c r="I188" s="234">
        <f>SUM(J188:K188)</f>
        <v>0</v>
      </c>
      <c r="J188" s="234"/>
      <c r="K188" s="234"/>
      <c r="L188" s="234">
        <f>SUM(M188:N188)</f>
        <v>0</v>
      </c>
      <c r="M188" s="234"/>
      <c r="N188" s="234"/>
    </row>
    <row r="189" spans="1:14" ht="14.25" customHeight="1">
      <c r="A189" s="56">
        <v>2713</v>
      </c>
      <c r="B189" s="57" t="s">
        <v>250</v>
      </c>
      <c r="C189" s="57">
        <v>1</v>
      </c>
      <c r="D189" s="57">
        <v>3</v>
      </c>
      <c r="E189" s="298" t="s">
        <v>254</v>
      </c>
      <c r="F189" s="234">
        <f>SUM(G189:H189)</f>
        <v>0</v>
      </c>
      <c r="G189" s="234"/>
      <c r="H189" s="234"/>
      <c r="I189" s="234">
        <f>SUM(J189:K189)</f>
        <v>0</v>
      </c>
      <c r="J189" s="234"/>
      <c r="K189" s="234"/>
      <c r="L189" s="234">
        <f>SUM(M189:N189)</f>
        <v>0</v>
      </c>
      <c r="M189" s="234"/>
      <c r="N189" s="234"/>
    </row>
    <row r="190" spans="1:14" ht="14.25" customHeight="1">
      <c r="A190" s="56">
        <v>2720</v>
      </c>
      <c r="B190" s="57" t="s">
        <v>250</v>
      </c>
      <c r="C190" s="57">
        <v>2</v>
      </c>
      <c r="D190" s="57">
        <v>0</v>
      </c>
      <c r="E190" s="298" t="s">
        <v>255</v>
      </c>
      <c r="F190" s="234">
        <f aca="true" t="shared" si="57" ref="F190:K190">SUM(F192:F195)</f>
        <v>0</v>
      </c>
      <c r="G190" s="234">
        <f t="shared" si="57"/>
        <v>0</v>
      </c>
      <c r="H190" s="234">
        <f t="shared" si="57"/>
        <v>0</v>
      </c>
      <c r="I190" s="234">
        <f t="shared" si="57"/>
        <v>0</v>
      </c>
      <c r="J190" s="234">
        <f t="shared" si="57"/>
        <v>0</v>
      </c>
      <c r="K190" s="234">
        <f t="shared" si="57"/>
        <v>0</v>
      </c>
      <c r="L190" s="234">
        <f>SUM(L192:L195)</f>
        <v>0</v>
      </c>
      <c r="M190" s="234">
        <f>SUM(M192:M195)</f>
        <v>0</v>
      </c>
      <c r="N190" s="234">
        <f>SUM(N192:N195)</f>
        <v>0</v>
      </c>
    </row>
    <row r="191" spans="1:14" s="58" customFormat="1" ht="14.25" customHeight="1">
      <c r="A191" s="56"/>
      <c r="B191" s="57"/>
      <c r="C191" s="57"/>
      <c r="D191" s="57"/>
      <c r="E191" s="298" t="s">
        <v>139</v>
      </c>
      <c r="F191" s="234"/>
      <c r="G191" s="234"/>
      <c r="H191" s="234"/>
      <c r="I191" s="234"/>
      <c r="J191" s="234"/>
      <c r="K191" s="234"/>
      <c r="L191" s="234"/>
      <c r="M191" s="234"/>
      <c r="N191" s="234"/>
    </row>
    <row r="192" spans="1:14" ht="12" customHeight="1">
      <c r="A192" s="56">
        <v>2721</v>
      </c>
      <c r="B192" s="57" t="s">
        <v>250</v>
      </c>
      <c r="C192" s="57">
        <v>2</v>
      </c>
      <c r="D192" s="57">
        <v>1</v>
      </c>
      <c r="E192" s="298" t="s">
        <v>256</v>
      </c>
      <c r="F192" s="234">
        <f>SUM(G192:H192)</f>
        <v>0</v>
      </c>
      <c r="G192" s="234"/>
      <c r="H192" s="234"/>
      <c r="I192" s="234">
        <f>SUM(J192:K192)</f>
        <v>0</v>
      </c>
      <c r="J192" s="234"/>
      <c r="K192" s="234"/>
      <c r="L192" s="234">
        <f>SUM(M192:N192)</f>
        <v>0</v>
      </c>
      <c r="M192" s="234"/>
      <c r="N192" s="234"/>
    </row>
    <row r="193" spans="1:14" ht="12.75" customHeight="1">
      <c r="A193" s="56">
        <v>2722</v>
      </c>
      <c r="B193" s="57" t="s">
        <v>250</v>
      </c>
      <c r="C193" s="57">
        <v>2</v>
      </c>
      <c r="D193" s="57">
        <v>2</v>
      </c>
      <c r="E193" s="298" t="s">
        <v>257</v>
      </c>
      <c r="F193" s="234">
        <f>SUM(G193:H193)</f>
        <v>0</v>
      </c>
      <c r="G193" s="234"/>
      <c r="H193" s="234"/>
      <c r="I193" s="234">
        <f>SUM(J193:K193)</f>
        <v>0</v>
      </c>
      <c r="J193" s="234"/>
      <c r="K193" s="234"/>
      <c r="L193" s="234">
        <f>SUM(M193:N193)</f>
        <v>0</v>
      </c>
      <c r="M193" s="234"/>
      <c r="N193" s="234"/>
    </row>
    <row r="194" spans="1:14" ht="12.75" customHeight="1">
      <c r="A194" s="56">
        <v>2723</v>
      </c>
      <c r="B194" s="57" t="s">
        <v>250</v>
      </c>
      <c r="C194" s="57">
        <v>2</v>
      </c>
      <c r="D194" s="57">
        <v>3</v>
      </c>
      <c r="E194" s="298" t="s">
        <v>258</v>
      </c>
      <c r="F194" s="234">
        <f>SUM(G194:H194)</f>
        <v>0</v>
      </c>
      <c r="G194" s="234"/>
      <c r="H194" s="234"/>
      <c r="I194" s="234">
        <f>SUM(J194:K194)</f>
        <v>0</v>
      </c>
      <c r="J194" s="234"/>
      <c r="K194" s="234"/>
      <c r="L194" s="234">
        <f>SUM(M194:N194)</f>
        <v>0</v>
      </c>
      <c r="M194" s="234"/>
      <c r="N194" s="234"/>
    </row>
    <row r="195" spans="1:14" ht="12.75" customHeight="1">
      <c r="A195" s="56">
        <v>2724</v>
      </c>
      <c r="B195" s="57" t="s">
        <v>250</v>
      </c>
      <c r="C195" s="57">
        <v>2</v>
      </c>
      <c r="D195" s="57">
        <v>4</v>
      </c>
      <c r="E195" s="298" t="s">
        <v>259</v>
      </c>
      <c r="F195" s="234">
        <f>SUM(G195:H195)</f>
        <v>0</v>
      </c>
      <c r="G195" s="234"/>
      <c r="H195" s="234"/>
      <c r="I195" s="234">
        <f>SUM(J195:K195)</f>
        <v>0</v>
      </c>
      <c r="J195" s="234"/>
      <c r="K195" s="234"/>
      <c r="L195" s="234">
        <f>SUM(M195:N195)</f>
        <v>0</v>
      </c>
      <c r="M195" s="234"/>
      <c r="N195" s="234"/>
    </row>
    <row r="196" spans="1:14" ht="12.75" customHeight="1">
      <c r="A196" s="56">
        <v>2730</v>
      </c>
      <c r="B196" s="57" t="s">
        <v>250</v>
      </c>
      <c r="C196" s="57">
        <v>3</v>
      </c>
      <c r="D196" s="57">
        <v>0</v>
      </c>
      <c r="E196" s="298" t="s">
        <v>260</v>
      </c>
      <c r="F196" s="234">
        <f aca="true" t="shared" si="58" ref="F196:K196">SUM(F198:F201)</f>
        <v>0</v>
      </c>
      <c r="G196" s="234">
        <f t="shared" si="58"/>
        <v>0</v>
      </c>
      <c r="H196" s="234">
        <f t="shared" si="58"/>
        <v>0</v>
      </c>
      <c r="I196" s="234">
        <f t="shared" si="58"/>
        <v>0</v>
      </c>
      <c r="J196" s="234">
        <f t="shared" si="58"/>
        <v>0</v>
      </c>
      <c r="K196" s="234">
        <f t="shared" si="58"/>
        <v>0</v>
      </c>
      <c r="L196" s="234">
        <f>SUM(L198:L201)</f>
        <v>0</v>
      </c>
      <c r="M196" s="234">
        <f>SUM(M198:M201)</f>
        <v>0</v>
      </c>
      <c r="N196" s="234">
        <f>SUM(N198:N201)</f>
        <v>0</v>
      </c>
    </row>
    <row r="197" spans="1:14" s="58" customFormat="1" ht="10.5" customHeight="1">
      <c r="A197" s="56"/>
      <c r="B197" s="57"/>
      <c r="C197" s="57"/>
      <c r="D197" s="57"/>
      <c r="E197" s="298" t="s">
        <v>139</v>
      </c>
      <c r="F197" s="234"/>
      <c r="G197" s="234"/>
      <c r="H197" s="234"/>
      <c r="I197" s="234"/>
      <c r="J197" s="234"/>
      <c r="K197" s="234"/>
      <c r="L197" s="234"/>
      <c r="M197" s="234"/>
      <c r="N197" s="234"/>
    </row>
    <row r="198" spans="1:14" ht="15" customHeight="1">
      <c r="A198" s="56">
        <v>2731</v>
      </c>
      <c r="B198" s="57" t="s">
        <v>250</v>
      </c>
      <c r="C198" s="57">
        <v>3</v>
      </c>
      <c r="D198" s="57">
        <v>1</v>
      </c>
      <c r="E198" s="298" t="s">
        <v>261</v>
      </c>
      <c r="F198" s="234">
        <f>SUM(G198:H198)</f>
        <v>0</v>
      </c>
      <c r="G198" s="234"/>
      <c r="H198" s="234"/>
      <c r="I198" s="234">
        <f>SUM(J198:K198)</f>
        <v>0</v>
      </c>
      <c r="J198" s="234"/>
      <c r="K198" s="234"/>
      <c r="L198" s="234">
        <f>SUM(M198:N198)</f>
        <v>0</v>
      </c>
      <c r="M198" s="234"/>
      <c r="N198" s="234"/>
    </row>
    <row r="199" spans="1:14" ht="12.75" customHeight="1">
      <c r="A199" s="56">
        <v>2732</v>
      </c>
      <c r="B199" s="57" t="s">
        <v>250</v>
      </c>
      <c r="C199" s="57">
        <v>3</v>
      </c>
      <c r="D199" s="57">
        <v>2</v>
      </c>
      <c r="E199" s="298" t="s">
        <v>262</v>
      </c>
      <c r="F199" s="234">
        <f>SUM(G199:H199)</f>
        <v>0</v>
      </c>
      <c r="G199" s="234"/>
      <c r="H199" s="234"/>
      <c r="I199" s="234">
        <f>SUM(J199:K199)</f>
        <v>0</v>
      </c>
      <c r="J199" s="234"/>
      <c r="K199" s="234"/>
      <c r="L199" s="234">
        <f>SUM(M199:N199)</f>
        <v>0</v>
      </c>
      <c r="M199" s="234"/>
      <c r="N199" s="234"/>
    </row>
    <row r="200" spans="1:14" ht="16.5" customHeight="1">
      <c r="A200" s="56">
        <v>2733</v>
      </c>
      <c r="B200" s="57" t="s">
        <v>250</v>
      </c>
      <c r="C200" s="57">
        <v>3</v>
      </c>
      <c r="D200" s="57">
        <v>3</v>
      </c>
      <c r="E200" s="298" t="s">
        <v>263</v>
      </c>
      <c r="F200" s="234">
        <f>SUM(G200:H200)</f>
        <v>0</v>
      </c>
      <c r="G200" s="234"/>
      <c r="H200" s="234"/>
      <c r="I200" s="234">
        <f>SUM(J200:K200)</f>
        <v>0</v>
      </c>
      <c r="J200" s="234"/>
      <c r="K200" s="234"/>
      <c r="L200" s="234">
        <f>SUM(M200:N200)</f>
        <v>0</v>
      </c>
      <c r="M200" s="234"/>
      <c r="N200" s="234"/>
    </row>
    <row r="201" spans="1:14" ht="26.25" customHeight="1">
      <c r="A201" s="56">
        <v>2734</v>
      </c>
      <c r="B201" s="57" t="s">
        <v>250</v>
      </c>
      <c r="C201" s="57">
        <v>3</v>
      </c>
      <c r="D201" s="57">
        <v>4</v>
      </c>
      <c r="E201" s="298" t="s">
        <v>264</v>
      </c>
      <c r="F201" s="234">
        <f>SUM(G201:H201)</f>
        <v>0</v>
      </c>
      <c r="G201" s="234"/>
      <c r="H201" s="234"/>
      <c r="I201" s="234">
        <f>SUM(J201:K201)</f>
        <v>0</v>
      </c>
      <c r="J201" s="234"/>
      <c r="K201" s="234"/>
      <c r="L201" s="234">
        <f>SUM(M201:N201)</f>
        <v>0</v>
      </c>
      <c r="M201" s="234"/>
      <c r="N201" s="234"/>
    </row>
    <row r="202" spans="1:14" ht="15.75" customHeight="1">
      <c r="A202" s="56">
        <v>2740</v>
      </c>
      <c r="B202" s="57" t="s">
        <v>250</v>
      </c>
      <c r="C202" s="57">
        <v>4</v>
      </c>
      <c r="D202" s="57">
        <v>0</v>
      </c>
      <c r="E202" s="298" t="s">
        <v>265</v>
      </c>
      <c r="F202" s="234">
        <f aca="true" t="shared" si="59" ref="F202:K202">SUM(F204)</f>
        <v>0</v>
      </c>
      <c r="G202" s="234">
        <f t="shared" si="59"/>
        <v>0</v>
      </c>
      <c r="H202" s="234">
        <f t="shared" si="59"/>
        <v>0</v>
      </c>
      <c r="I202" s="234">
        <f t="shared" si="59"/>
        <v>0</v>
      </c>
      <c r="J202" s="234">
        <f t="shared" si="59"/>
        <v>0</v>
      </c>
      <c r="K202" s="234">
        <f t="shared" si="59"/>
        <v>0</v>
      </c>
      <c r="L202" s="234">
        <f>SUM(L204)</f>
        <v>0</v>
      </c>
      <c r="M202" s="234">
        <f>SUM(M204)</f>
        <v>0</v>
      </c>
      <c r="N202" s="234">
        <f>SUM(N204)</f>
        <v>0</v>
      </c>
    </row>
    <row r="203" spans="1:14" s="58" customFormat="1" ht="10.5" customHeight="1">
      <c r="A203" s="56"/>
      <c r="B203" s="57"/>
      <c r="C203" s="57"/>
      <c r="D203" s="57"/>
      <c r="E203" s="298" t="s">
        <v>139</v>
      </c>
      <c r="F203" s="234"/>
      <c r="G203" s="234"/>
      <c r="H203" s="234"/>
      <c r="I203" s="234"/>
      <c r="J203" s="234"/>
      <c r="K203" s="234"/>
      <c r="L203" s="234"/>
      <c r="M203" s="234"/>
      <c r="N203" s="234"/>
    </row>
    <row r="204" spans="1:14" ht="17.25" customHeight="1">
      <c r="A204" s="56">
        <v>2741</v>
      </c>
      <c r="B204" s="57" t="s">
        <v>250</v>
      </c>
      <c r="C204" s="57">
        <v>4</v>
      </c>
      <c r="D204" s="57">
        <v>1</v>
      </c>
      <c r="E204" s="298" t="s">
        <v>265</v>
      </c>
      <c r="F204" s="234">
        <f>SUM(G204:H204)</f>
        <v>0</v>
      </c>
      <c r="G204" s="234"/>
      <c r="H204" s="234"/>
      <c r="I204" s="234">
        <f>SUM(J204:K204)</f>
        <v>0</v>
      </c>
      <c r="J204" s="234"/>
      <c r="K204" s="234"/>
      <c r="L204" s="234">
        <f>SUM(M204:N204)</f>
        <v>0</v>
      </c>
      <c r="M204" s="234"/>
      <c r="N204" s="234"/>
    </row>
    <row r="205" spans="1:14" ht="20.25" customHeight="1">
      <c r="A205" s="56">
        <v>2750</v>
      </c>
      <c r="B205" s="57" t="s">
        <v>250</v>
      </c>
      <c r="C205" s="57">
        <v>5</v>
      </c>
      <c r="D205" s="57">
        <v>0</v>
      </c>
      <c r="E205" s="298" t="s">
        <v>266</v>
      </c>
      <c r="F205" s="234">
        <f aca="true" t="shared" si="60" ref="F205:K205">SUM(F207)</f>
        <v>0</v>
      </c>
      <c r="G205" s="234">
        <f t="shared" si="60"/>
        <v>0</v>
      </c>
      <c r="H205" s="234">
        <f t="shared" si="60"/>
        <v>0</v>
      </c>
      <c r="I205" s="234">
        <f t="shared" si="60"/>
        <v>0</v>
      </c>
      <c r="J205" s="234">
        <f t="shared" si="60"/>
        <v>0</v>
      </c>
      <c r="K205" s="234">
        <f t="shared" si="60"/>
        <v>0</v>
      </c>
      <c r="L205" s="234">
        <f>SUM(L207)</f>
        <v>0</v>
      </c>
      <c r="M205" s="234">
        <f>SUM(M207)</f>
        <v>0</v>
      </c>
      <c r="N205" s="234">
        <f>SUM(N207)</f>
        <v>0</v>
      </c>
    </row>
    <row r="206" spans="1:14" s="58" customFormat="1" ht="9" customHeight="1">
      <c r="A206" s="56"/>
      <c r="B206" s="57"/>
      <c r="C206" s="57"/>
      <c r="D206" s="57"/>
      <c r="E206" s="298" t="s">
        <v>139</v>
      </c>
      <c r="F206" s="234"/>
      <c r="G206" s="234"/>
      <c r="H206" s="234"/>
      <c r="I206" s="234"/>
      <c r="J206" s="234"/>
      <c r="K206" s="234"/>
      <c r="L206" s="234"/>
      <c r="M206" s="234"/>
      <c r="N206" s="234"/>
    </row>
    <row r="207" spans="1:14" ht="21.75" customHeight="1">
      <c r="A207" s="56">
        <v>2751</v>
      </c>
      <c r="B207" s="57" t="s">
        <v>250</v>
      </c>
      <c r="C207" s="57">
        <v>5</v>
      </c>
      <c r="D207" s="57">
        <v>1</v>
      </c>
      <c r="E207" s="298" t="s">
        <v>266</v>
      </c>
      <c r="F207" s="234">
        <f>SUM(G207:H207)</f>
        <v>0</v>
      </c>
      <c r="G207" s="234"/>
      <c r="H207" s="234"/>
      <c r="I207" s="234">
        <f>SUM(J207:K207)</f>
        <v>0</v>
      </c>
      <c r="J207" s="234"/>
      <c r="K207" s="234"/>
      <c r="L207" s="234">
        <f>SUM(M207:N207)</f>
        <v>0</v>
      </c>
      <c r="M207" s="234"/>
      <c r="N207" s="234"/>
    </row>
    <row r="208" spans="1:14" ht="19.5" customHeight="1">
      <c r="A208" s="56">
        <v>2760</v>
      </c>
      <c r="B208" s="57" t="s">
        <v>250</v>
      </c>
      <c r="C208" s="57">
        <v>6</v>
      </c>
      <c r="D208" s="57">
        <v>0</v>
      </c>
      <c r="E208" s="298" t="s">
        <v>267</v>
      </c>
      <c r="F208" s="234">
        <f aca="true" t="shared" si="61" ref="F208:K208">SUM(F210:F211)</f>
        <v>0</v>
      </c>
      <c r="G208" s="234">
        <f t="shared" si="61"/>
        <v>0</v>
      </c>
      <c r="H208" s="234">
        <f t="shared" si="61"/>
        <v>0</v>
      </c>
      <c r="I208" s="234">
        <f t="shared" si="61"/>
        <v>0</v>
      </c>
      <c r="J208" s="234">
        <f t="shared" si="61"/>
        <v>0</v>
      </c>
      <c r="K208" s="234">
        <f t="shared" si="61"/>
        <v>0</v>
      </c>
      <c r="L208" s="234">
        <f>SUM(L210:L211)</f>
        <v>0</v>
      </c>
      <c r="M208" s="234">
        <f>SUM(M210:M211)</f>
        <v>0</v>
      </c>
      <c r="N208" s="234">
        <f>SUM(N210:N211)</f>
        <v>0</v>
      </c>
    </row>
    <row r="209" spans="1:14" s="58" customFormat="1" ht="10.5" customHeight="1">
      <c r="A209" s="56"/>
      <c r="B209" s="57"/>
      <c r="C209" s="57"/>
      <c r="D209" s="57"/>
      <c r="E209" s="298" t="s">
        <v>139</v>
      </c>
      <c r="F209" s="234"/>
      <c r="G209" s="234"/>
      <c r="H209" s="234"/>
      <c r="I209" s="234"/>
      <c r="J209" s="234"/>
      <c r="K209" s="234"/>
      <c r="L209" s="234"/>
      <c r="M209" s="234"/>
      <c r="N209" s="234"/>
    </row>
    <row r="210" spans="1:14" ht="15">
      <c r="A210" s="56">
        <v>2761</v>
      </c>
      <c r="B210" s="57" t="s">
        <v>250</v>
      </c>
      <c r="C210" s="57">
        <v>6</v>
      </c>
      <c r="D210" s="57">
        <v>1</v>
      </c>
      <c r="E210" s="298" t="s">
        <v>268</v>
      </c>
      <c r="F210" s="234">
        <f>SUM(G210:H210)</f>
        <v>0</v>
      </c>
      <c r="G210" s="234"/>
      <c r="H210" s="234"/>
      <c r="I210" s="234">
        <f>SUM(J210:K210)</f>
        <v>0</v>
      </c>
      <c r="J210" s="234"/>
      <c r="K210" s="234"/>
      <c r="L210" s="234">
        <f>SUM(M210:N210)</f>
        <v>0</v>
      </c>
      <c r="M210" s="234"/>
      <c r="N210" s="234"/>
    </row>
    <row r="211" spans="1:14" ht="16.5" customHeight="1">
      <c r="A211" s="56">
        <v>2762</v>
      </c>
      <c r="B211" s="57" t="s">
        <v>250</v>
      </c>
      <c r="C211" s="57">
        <v>6</v>
      </c>
      <c r="D211" s="57">
        <v>2</v>
      </c>
      <c r="E211" s="298" t="s">
        <v>267</v>
      </c>
      <c r="F211" s="234">
        <f>SUM(G211:H211)</f>
        <v>0</v>
      </c>
      <c r="G211" s="234"/>
      <c r="H211" s="234"/>
      <c r="I211" s="234">
        <f>SUM(J211:K211)</f>
        <v>0</v>
      </c>
      <c r="J211" s="234"/>
      <c r="K211" s="234"/>
      <c r="L211" s="234">
        <f>SUM(M211:N211)</f>
        <v>0</v>
      </c>
      <c r="M211" s="234"/>
      <c r="N211" s="234"/>
    </row>
    <row r="212" spans="1:14" s="55" customFormat="1" ht="23.25" customHeight="1">
      <c r="A212" s="56">
        <v>2800</v>
      </c>
      <c r="B212" s="57" t="s">
        <v>269</v>
      </c>
      <c r="C212" s="57">
        <v>0</v>
      </c>
      <c r="D212" s="57">
        <v>0</v>
      </c>
      <c r="E212" s="298" t="s">
        <v>384</v>
      </c>
      <c r="F212" s="234">
        <f aca="true" t="shared" si="62" ref="F212:K212">SUM(F214,F217,F226,F231,F236,F239)</f>
        <v>87131.20000000001</v>
      </c>
      <c r="G212" s="234">
        <f t="shared" si="62"/>
        <v>74131.20000000001</v>
      </c>
      <c r="H212" s="234">
        <f t="shared" si="62"/>
        <v>13000</v>
      </c>
      <c r="I212" s="234">
        <f t="shared" si="62"/>
        <v>87355.504</v>
      </c>
      <c r="J212" s="234">
        <f t="shared" si="62"/>
        <v>74275.20000000001</v>
      </c>
      <c r="K212" s="234">
        <f t="shared" si="62"/>
        <v>13080.304</v>
      </c>
      <c r="L212" s="234">
        <f>SUM(L214,L217,L226,L231,L236,L239)</f>
        <v>49948.58699999999</v>
      </c>
      <c r="M212" s="234">
        <f>SUM(M214,M217,M226,M231,M236,M239)</f>
        <v>49868.282999999996</v>
      </c>
      <c r="N212" s="234">
        <f>SUM(N214,N217,N226,N231,N236,N239)</f>
        <v>80.304</v>
      </c>
    </row>
    <row r="213" spans="1:14" ht="11.25" customHeight="1">
      <c r="A213" s="53"/>
      <c r="B213" s="57"/>
      <c r="C213" s="57"/>
      <c r="D213" s="57"/>
      <c r="E213" s="298" t="s">
        <v>21</v>
      </c>
      <c r="F213" s="234"/>
      <c r="G213" s="234"/>
      <c r="H213" s="234"/>
      <c r="I213" s="234"/>
      <c r="J213" s="234"/>
      <c r="K213" s="234"/>
      <c r="L213" s="234"/>
      <c r="M213" s="234"/>
      <c r="N213" s="234"/>
    </row>
    <row r="214" spans="1:14" ht="10.5" customHeight="1">
      <c r="A214" s="56">
        <v>2810</v>
      </c>
      <c r="B214" s="57" t="s">
        <v>269</v>
      </c>
      <c r="C214" s="57">
        <v>1</v>
      </c>
      <c r="D214" s="57">
        <v>0</v>
      </c>
      <c r="E214" s="298" t="s">
        <v>270</v>
      </c>
      <c r="F214" s="234">
        <f aca="true" t="shared" si="63" ref="F214:K214">SUM(F216)</f>
        <v>0</v>
      </c>
      <c r="G214" s="234">
        <f t="shared" si="63"/>
        <v>0</v>
      </c>
      <c r="H214" s="234">
        <f t="shared" si="63"/>
        <v>0</v>
      </c>
      <c r="I214" s="234">
        <f t="shared" si="63"/>
        <v>0</v>
      </c>
      <c r="J214" s="234">
        <f t="shared" si="63"/>
        <v>0</v>
      </c>
      <c r="K214" s="234">
        <f t="shared" si="63"/>
        <v>0</v>
      </c>
      <c r="L214" s="234">
        <f>SUM(L216)</f>
        <v>0</v>
      </c>
      <c r="M214" s="234">
        <f>SUM(M216)</f>
        <v>0</v>
      </c>
      <c r="N214" s="234">
        <f>SUM(N216)</f>
        <v>0</v>
      </c>
    </row>
    <row r="215" spans="1:14" s="58" customFormat="1" ht="10.5" customHeight="1">
      <c r="A215" s="56"/>
      <c r="B215" s="57"/>
      <c r="C215" s="57"/>
      <c r="D215" s="57"/>
      <c r="E215" s="298" t="s">
        <v>139</v>
      </c>
      <c r="F215" s="234"/>
      <c r="G215" s="234"/>
      <c r="H215" s="234"/>
      <c r="I215" s="234"/>
      <c r="J215" s="234"/>
      <c r="K215" s="234"/>
      <c r="L215" s="234"/>
      <c r="M215" s="234"/>
      <c r="N215" s="234"/>
    </row>
    <row r="216" spans="1:14" ht="10.5" customHeight="1">
      <c r="A216" s="56">
        <v>2811</v>
      </c>
      <c r="B216" s="57" t="s">
        <v>269</v>
      </c>
      <c r="C216" s="57">
        <v>1</v>
      </c>
      <c r="D216" s="57">
        <v>1</v>
      </c>
      <c r="E216" s="298" t="s">
        <v>270</v>
      </c>
      <c r="F216" s="234">
        <f>SUM(G216:H216)</f>
        <v>0</v>
      </c>
      <c r="G216" s="234"/>
      <c r="H216" s="234"/>
      <c r="I216" s="234">
        <f>SUM(J216:K216)</f>
        <v>0</v>
      </c>
      <c r="J216" s="234"/>
      <c r="K216" s="234"/>
      <c r="L216" s="234">
        <f>SUM(M216:N216)</f>
        <v>0</v>
      </c>
      <c r="M216" s="234"/>
      <c r="N216" s="234"/>
    </row>
    <row r="217" spans="1:14" ht="10.5" customHeight="1">
      <c r="A217" s="56">
        <v>2820</v>
      </c>
      <c r="B217" s="57" t="s">
        <v>269</v>
      </c>
      <c r="C217" s="57">
        <v>2</v>
      </c>
      <c r="D217" s="57">
        <v>0</v>
      </c>
      <c r="E217" s="298" t="s">
        <v>271</v>
      </c>
      <c r="F217" s="234">
        <f aca="true" t="shared" si="64" ref="F217:K217">SUM(F219:F225)</f>
        <v>86789.20000000001</v>
      </c>
      <c r="G217" s="234">
        <f t="shared" si="64"/>
        <v>73789.20000000001</v>
      </c>
      <c r="H217" s="234">
        <f t="shared" si="64"/>
        <v>13000</v>
      </c>
      <c r="I217" s="234">
        <f t="shared" si="64"/>
        <v>87013.504</v>
      </c>
      <c r="J217" s="234">
        <f t="shared" si="64"/>
        <v>73933.20000000001</v>
      </c>
      <c r="K217" s="234">
        <f t="shared" si="64"/>
        <v>13080.304</v>
      </c>
      <c r="L217" s="234">
        <f>SUM(L219:L225)</f>
        <v>49720.594999999994</v>
      </c>
      <c r="M217" s="234">
        <f>SUM(M219:M225)</f>
        <v>49640.291</v>
      </c>
      <c r="N217" s="234">
        <f>SUM(N219:N225)</f>
        <v>80.304</v>
      </c>
    </row>
    <row r="218" spans="1:14" s="58" customFormat="1" ht="10.5" customHeight="1">
      <c r="A218" s="56"/>
      <c r="B218" s="57"/>
      <c r="C218" s="57"/>
      <c r="D218" s="57"/>
      <c r="E218" s="298" t="s">
        <v>139</v>
      </c>
      <c r="F218" s="234"/>
      <c r="G218" s="234"/>
      <c r="H218" s="234"/>
      <c r="I218" s="234"/>
      <c r="J218" s="234"/>
      <c r="K218" s="234"/>
      <c r="L218" s="234"/>
      <c r="M218" s="234"/>
      <c r="N218" s="234"/>
    </row>
    <row r="219" spans="1:14" ht="11.25" customHeight="1">
      <c r="A219" s="56">
        <v>2821</v>
      </c>
      <c r="B219" s="57" t="s">
        <v>269</v>
      </c>
      <c r="C219" s="57">
        <v>2</v>
      </c>
      <c r="D219" s="57">
        <v>1</v>
      </c>
      <c r="E219" s="298" t="s">
        <v>272</v>
      </c>
      <c r="F219" s="234">
        <f aca="true" t="shared" si="65" ref="F219:F225">SUM(G219:H219)</f>
        <v>26890.2</v>
      </c>
      <c r="G219" s="234">
        <f>26890.2</f>
        <v>26890.2</v>
      </c>
      <c r="H219" s="234"/>
      <c r="I219" s="234">
        <f aca="true" t="shared" si="66" ref="I219:I225">SUM(J219:K219)</f>
        <v>26890.2</v>
      </c>
      <c r="J219" s="234">
        <f>26890.2</f>
        <v>26890.2</v>
      </c>
      <c r="K219" s="234"/>
      <c r="L219" s="234">
        <f aca="true" t="shared" si="67" ref="L219:L225">SUM(M219:N219)</f>
        <v>17433.243</v>
      </c>
      <c r="M219" s="234">
        <v>17433.243</v>
      </c>
      <c r="N219" s="234"/>
    </row>
    <row r="220" spans="1:14" ht="11.25" customHeight="1">
      <c r="A220" s="56">
        <v>2822</v>
      </c>
      <c r="B220" s="57" t="s">
        <v>269</v>
      </c>
      <c r="C220" s="57">
        <v>2</v>
      </c>
      <c r="D220" s="57">
        <v>2</v>
      </c>
      <c r="E220" s="298" t="s">
        <v>273</v>
      </c>
      <c r="F220" s="234">
        <f t="shared" si="65"/>
        <v>21349.9</v>
      </c>
      <c r="G220" s="234">
        <f>18349.9</f>
        <v>18349.9</v>
      </c>
      <c r="H220" s="234">
        <f>3000</f>
        <v>3000</v>
      </c>
      <c r="I220" s="234">
        <f t="shared" si="66"/>
        <v>21349.9</v>
      </c>
      <c r="J220" s="234">
        <f>18349.9</f>
        <v>18349.9</v>
      </c>
      <c r="K220" s="234">
        <f>3000</f>
        <v>3000</v>
      </c>
      <c r="L220" s="234">
        <f t="shared" si="67"/>
        <v>12750.885</v>
      </c>
      <c r="M220" s="234">
        <v>12750.885</v>
      </c>
      <c r="N220" s="234"/>
    </row>
    <row r="221" spans="1:14" ht="11.25" customHeight="1">
      <c r="A221" s="56">
        <v>2823</v>
      </c>
      <c r="B221" s="57" t="s">
        <v>269</v>
      </c>
      <c r="C221" s="57">
        <v>2</v>
      </c>
      <c r="D221" s="57">
        <v>3</v>
      </c>
      <c r="E221" s="298" t="s">
        <v>274</v>
      </c>
      <c r="F221" s="234">
        <f t="shared" si="65"/>
        <v>31849.1</v>
      </c>
      <c r="G221" s="234">
        <f>21849.1</f>
        <v>21849.1</v>
      </c>
      <c r="H221" s="234">
        <f>10000</f>
        <v>10000</v>
      </c>
      <c r="I221" s="234">
        <f t="shared" si="66"/>
        <v>31929.404</v>
      </c>
      <c r="J221" s="234">
        <f>21849.1</f>
        <v>21849.1</v>
      </c>
      <c r="K221" s="234">
        <f>10000+80.304</f>
        <v>10080.304</v>
      </c>
      <c r="L221" s="234">
        <f t="shared" si="67"/>
        <v>14217.867</v>
      </c>
      <c r="M221" s="234">
        <v>14137.563</v>
      </c>
      <c r="N221" s="234">
        <f>80.304</f>
        <v>80.304</v>
      </c>
    </row>
    <row r="222" spans="1:14" ht="11.25" customHeight="1">
      <c r="A222" s="56">
        <v>2824</v>
      </c>
      <c r="B222" s="57" t="s">
        <v>269</v>
      </c>
      <c r="C222" s="57">
        <v>2</v>
      </c>
      <c r="D222" s="57">
        <v>4</v>
      </c>
      <c r="E222" s="298" t="s">
        <v>275</v>
      </c>
      <c r="F222" s="234">
        <f t="shared" si="65"/>
        <v>6700</v>
      </c>
      <c r="G222" s="234">
        <f>6700</f>
        <v>6700</v>
      </c>
      <c r="H222" s="234"/>
      <c r="I222" s="234">
        <f t="shared" si="66"/>
        <v>6844</v>
      </c>
      <c r="J222" s="234">
        <v>6844</v>
      </c>
      <c r="K222" s="234"/>
      <c r="L222" s="234">
        <f t="shared" si="67"/>
        <v>5318.6</v>
      </c>
      <c r="M222" s="234">
        <v>5318.6</v>
      </c>
      <c r="N222" s="234"/>
    </row>
    <row r="223" spans="1:14" ht="11.25" customHeight="1">
      <c r="A223" s="56">
        <v>2825</v>
      </c>
      <c r="B223" s="57" t="s">
        <v>269</v>
      </c>
      <c r="C223" s="57">
        <v>2</v>
      </c>
      <c r="D223" s="57">
        <v>5</v>
      </c>
      <c r="E223" s="298" t="s">
        <v>276</v>
      </c>
      <c r="F223" s="234">
        <f t="shared" si="65"/>
        <v>0</v>
      </c>
      <c r="G223" s="234"/>
      <c r="H223" s="234"/>
      <c r="I223" s="234">
        <f t="shared" si="66"/>
        <v>0</v>
      </c>
      <c r="J223" s="234"/>
      <c r="K223" s="234"/>
      <c r="L223" s="234">
        <f t="shared" si="67"/>
        <v>0</v>
      </c>
      <c r="M223" s="234"/>
      <c r="N223" s="234"/>
    </row>
    <row r="224" spans="1:14" ht="11.25" customHeight="1">
      <c r="A224" s="56">
        <v>2826</v>
      </c>
      <c r="B224" s="57" t="s">
        <v>269</v>
      </c>
      <c r="C224" s="57">
        <v>2</v>
      </c>
      <c r="D224" s="57">
        <v>6</v>
      </c>
      <c r="E224" s="298" t="s">
        <v>277</v>
      </c>
      <c r="F224" s="234">
        <f t="shared" si="65"/>
        <v>0</v>
      </c>
      <c r="G224" s="234"/>
      <c r="H224" s="234"/>
      <c r="I224" s="234">
        <f t="shared" si="66"/>
        <v>0</v>
      </c>
      <c r="J224" s="234"/>
      <c r="K224" s="234"/>
      <c r="L224" s="234">
        <f t="shared" si="67"/>
        <v>0</v>
      </c>
      <c r="M224" s="234"/>
      <c r="N224" s="234"/>
    </row>
    <row r="225" spans="1:14" ht="21">
      <c r="A225" s="56">
        <v>2827</v>
      </c>
      <c r="B225" s="57" t="s">
        <v>269</v>
      </c>
      <c r="C225" s="57">
        <v>2</v>
      </c>
      <c r="D225" s="57">
        <v>7</v>
      </c>
      <c r="E225" s="298" t="s">
        <v>278</v>
      </c>
      <c r="F225" s="234">
        <f t="shared" si="65"/>
        <v>0</v>
      </c>
      <c r="G225" s="234"/>
      <c r="H225" s="234"/>
      <c r="I225" s="234">
        <f t="shared" si="66"/>
        <v>0</v>
      </c>
      <c r="J225" s="234"/>
      <c r="K225" s="234"/>
      <c r="L225" s="234">
        <f t="shared" si="67"/>
        <v>0</v>
      </c>
      <c r="M225" s="234"/>
      <c r="N225" s="234"/>
    </row>
    <row r="226" spans="1:14" ht="24" customHeight="1">
      <c r="A226" s="56">
        <v>2830</v>
      </c>
      <c r="B226" s="57" t="s">
        <v>269</v>
      </c>
      <c r="C226" s="57">
        <v>3</v>
      </c>
      <c r="D226" s="57">
        <v>0</v>
      </c>
      <c r="E226" s="298" t="s">
        <v>279</v>
      </c>
      <c r="F226" s="234">
        <f aca="true" t="shared" si="68" ref="F226:K226">SUM(F228:F230)</f>
        <v>342</v>
      </c>
      <c r="G226" s="234">
        <f t="shared" si="68"/>
        <v>342</v>
      </c>
      <c r="H226" s="234">
        <f t="shared" si="68"/>
        <v>0</v>
      </c>
      <c r="I226" s="234">
        <f t="shared" si="68"/>
        <v>342</v>
      </c>
      <c r="J226" s="234">
        <f t="shared" si="68"/>
        <v>342</v>
      </c>
      <c r="K226" s="234">
        <f t="shared" si="68"/>
        <v>0</v>
      </c>
      <c r="L226" s="234">
        <f>SUM(L228:L230)</f>
        <v>227.992</v>
      </c>
      <c r="M226" s="234">
        <f>SUM(M228:M230)</f>
        <v>227.992</v>
      </c>
      <c r="N226" s="234">
        <f>SUM(N228:N230)</f>
        <v>0</v>
      </c>
    </row>
    <row r="227" spans="1:14" s="58" customFormat="1" ht="10.5" customHeight="1">
      <c r="A227" s="56"/>
      <c r="B227" s="57"/>
      <c r="C227" s="57"/>
      <c r="D227" s="57"/>
      <c r="E227" s="298" t="s">
        <v>139</v>
      </c>
      <c r="F227" s="234"/>
      <c r="G227" s="234"/>
      <c r="H227" s="234"/>
      <c r="I227" s="234"/>
      <c r="J227" s="234"/>
      <c r="K227" s="234"/>
      <c r="L227" s="234"/>
      <c r="M227" s="234"/>
      <c r="N227" s="234"/>
    </row>
    <row r="228" spans="1:14" ht="13.5" customHeight="1">
      <c r="A228" s="56">
        <v>2831</v>
      </c>
      <c r="B228" s="57" t="s">
        <v>269</v>
      </c>
      <c r="C228" s="57">
        <v>3</v>
      </c>
      <c r="D228" s="57">
        <v>1</v>
      </c>
      <c r="E228" s="298" t="s">
        <v>280</v>
      </c>
      <c r="F228" s="234">
        <f>SUM(G228:H228)</f>
        <v>0</v>
      </c>
      <c r="G228" s="234"/>
      <c r="H228" s="234"/>
      <c r="I228" s="234">
        <f>SUM(J228:K228)</f>
        <v>0</v>
      </c>
      <c r="J228" s="234"/>
      <c r="K228" s="234"/>
      <c r="L228" s="234">
        <f>SUM(M228:N228)</f>
        <v>0</v>
      </c>
      <c r="M228" s="234"/>
      <c r="N228" s="234"/>
    </row>
    <row r="229" spans="1:14" ht="13.5" customHeight="1">
      <c r="A229" s="56">
        <v>2832</v>
      </c>
      <c r="B229" s="57" t="s">
        <v>269</v>
      </c>
      <c r="C229" s="57">
        <v>3</v>
      </c>
      <c r="D229" s="57">
        <v>2</v>
      </c>
      <c r="E229" s="298" t="s">
        <v>281</v>
      </c>
      <c r="F229" s="234">
        <f>SUM(G229:H229)</f>
        <v>342</v>
      </c>
      <c r="G229" s="234">
        <f>342</f>
        <v>342</v>
      </c>
      <c r="H229" s="234"/>
      <c r="I229" s="234">
        <f>SUM(J229:K229)</f>
        <v>342</v>
      </c>
      <c r="J229" s="234">
        <f>342</f>
        <v>342</v>
      </c>
      <c r="K229" s="234"/>
      <c r="L229" s="234">
        <f>SUM(M229:N229)</f>
        <v>227.992</v>
      </c>
      <c r="M229" s="234">
        <v>227.992</v>
      </c>
      <c r="N229" s="234"/>
    </row>
    <row r="230" spans="1:14" ht="13.5" customHeight="1">
      <c r="A230" s="56">
        <v>2833</v>
      </c>
      <c r="B230" s="57" t="s">
        <v>269</v>
      </c>
      <c r="C230" s="57">
        <v>3</v>
      </c>
      <c r="D230" s="57">
        <v>3</v>
      </c>
      <c r="E230" s="298" t="s">
        <v>282</v>
      </c>
      <c r="F230" s="234">
        <f>SUM(G230:H230)</f>
        <v>0</v>
      </c>
      <c r="G230" s="234"/>
      <c r="H230" s="234"/>
      <c r="I230" s="234">
        <f>SUM(J230:K230)</f>
        <v>0</v>
      </c>
      <c r="J230" s="234"/>
      <c r="K230" s="234"/>
      <c r="L230" s="234">
        <f>SUM(M230:N230)</f>
        <v>0</v>
      </c>
      <c r="M230" s="234"/>
      <c r="N230" s="234"/>
    </row>
    <row r="231" spans="1:14" ht="14.25" customHeight="1">
      <c r="A231" s="56">
        <v>2840</v>
      </c>
      <c r="B231" s="57" t="s">
        <v>269</v>
      </c>
      <c r="C231" s="57">
        <v>4</v>
      </c>
      <c r="D231" s="57">
        <v>0</v>
      </c>
      <c r="E231" s="298" t="s">
        <v>283</v>
      </c>
      <c r="F231" s="234">
        <f aca="true" t="shared" si="69" ref="F231:K231">SUM(F233:F235)</f>
        <v>0</v>
      </c>
      <c r="G231" s="234">
        <f t="shared" si="69"/>
        <v>0</v>
      </c>
      <c r="H231" s="234">
        <f t="shared" si="69"/>
        <v>0</v>
      </c>
      <c r="I231" s="234">
        <f t="shared" si="69"/>
        <v>0</v>
      </c>
      <c r="J231" s="234">
        <f t="shared" si="69"/>
        <v>0</v>
      </c>
      <c r="K231" s="234">
        <f t="shared" si="69"/>
        <v>0</v>
      </c>
      <c r="L231" s="234">
        <f>SUM(L233:L235)</f>
        <v>0</v>
      </c>
      <c r="M231" s="234">
        <f>SUM(M233:M235)</f>
        <v>0</v>
      </c>
      <c r="N231" s="234">
        <f>SUM(N233:N235)</f>
        <v>0</v>
      </c>
    </row>
    <row r="232" spans="1:14" s="58" customFormat="1" ht="10.5" customHeight="1">
      <c r="A232" s="56"/>
      <c r="B232" s="57"/>
      <c r="C232" s="57"/>
      <c r="D232" s="57"/>
      <c r="E232" s="298" t="s">
        <v>139</v>
      </c>
      <c r="F232" s="234"/>
      <c r="G232" s="234"/>
      <c r="H232" s="234"/>
      <c r="I232" s="234"/>
      <c r="J232" s="234"/>
      <c r="K232" s="234"/>
      <c r="L232" s="234"/>
      <c r="M232" s="234"/>
      <c r="N232" s="234"/>
    </row>
    <row r="233" spans="1:14" ht="14.25" customHeight="1">
      <c r="A233" s="56">
        <v>2841</v>
      </c>
      <c r="B233" s="57" t="s">
        <v>269</v>
      </c>
      <c r="C233" s="57">
        <v>4</v>
      </c>
      <c r="D233" s="57">
        <v>1</v>
      </c>
      <c r="E233" s="298" t="s">
        <v>284</v>
      </c>
      <c r="F233" s="234">
        <f>SUM(G233:H233)</f>
        <v>0</v>
      </c>
      <c r="G233" s="234"/>
      <c r="H233" s="234"/>
      <c r="I233" s="234">
        <f>SUM(J233:K233)</f>
        <v>0</v>
      </c>
      <c r="J233" s="234"/>
      <c r="K233" s="234"/>
      <c r="L233" s="234">
        <f>SUM(M233:N233)</f>
        <v>0</v>
      </c>
      <c r="M233" s="234"/>
      <c r="N233" s="234"/>
    </row>
    <row r="234" spans="1:14" ht="21" customHeight="1">
      <c r="A234" s="56">
        <v>2842</v>
      </c>
      <c r="B234" s="57" t="s">
        <v>269</v>
      </c>
      <c r="C234" s="57">
        <v>4</v>
      </c>
      <c r="D234" s="57">
        <v>2</v>
      </c>
      <c r="E234" s="298" t="s">
        <v>285</v>
      </c>
      <c r="F234" s="234">
        <f>SUM(G234:H234)</f>
        <v>0</v>
      </c>
      <c r="G234" s="234"/>
      <c r="H234" s="234"/>
      <c r="I234" s="234">
        <f>SUM(J234:K234)</f>
        <v>0</v>
      </c>
      <c r="J234" s="234"/>
      <c r="K234" s="234"/>
      <c r="L234" s="234">
        <f>SUM(M234:N234)</f>
        <v>0</v>
      </c>
      <c r="M234" s="234"/>
      <c r="N234" s="234"/>
    </row>
    <row r="235" spans="1:14" ht="11.25" customHeight="1">
      <c r="A235" s="56">
        <v>2843</v>
      </c>
      <c r="B235" s="57" t="s">
        <v>269</v>
      </c>
      <c r="C235" s="57">
        <v>4</v>
      </c>
      <c r="D235" s="57">
        <v>3</v>
      </c>
      <c r="E235" s="298" t="s">
        <v>283</v>
      </c>
      <c r="F235" s="234">
        <f>SUM(G235:H235)</f>
        <v>0</v>
      </c>
      <c r="G235" s="234"/>
      <c r="H235" s="234"/>
      <c r="I235" s="234">
        <f>SUM(J235:K235)</f>
        <v>0</v>
      </c>
      <c r="J235" s="234"/>
      <c r="K235" s="234"/>
      <c r="L235" s="234">
        <f>SUM(M235:N235)</f>
        <v>0</v>
      </c>
      <c r="M235" s="234"/>
      <c r="N235" s="234"/>
    </row>
    <row r="236" spans="1:14" ht="21" customHeight="1">
      <c r="A236" s="56">
        <v>2850</v>
      </c>
      <c r="B236" s="57" t="s">
        <v>269</v>
      </c>
      <c r="C236" s="57">
        <v>5</v>
      </c>
      <c r="D236" s="57">
        <v>0</v>
      </c>
      <c r="E236" s="292" t="s">
        <v>286</v>
      </c>
      <c r="F236" s="234">
        <f aca="true" t="shared" si="70" ref="F236:K236">SUM(F238)</f>
        <v>0</v>
      </c>
      <c r="G236" s="234">
        <f t="shared" si="70"/>
        <v>0</v>
      </c>
      <c r="H236" s="234">
        <f t="shared" si="70"/>
        <v>0</v>
      </c>
      <c r="I236" s="234">
        <f t="shared" si="70"/>
        <v>0</v>
      </c>
      <c r="J236" s="234">
        <f t="shared" si="70"/>
        <v>0</v>
      </c>
      <c r="K236" s="234">
        <f t="shared" si="70"/>
        <v>0</v>
      </c>
      <c r="L236" s="234">
        <f>SUM(L238)</f>
        <v>0</v>
      </c>
      <c r="M236" s="234">
        <f>SUM(M238)</f>
        <v>0</v>
      </c>
      <c r="N236" s="234">
        <f>SUM(N238)</f>
        <v>0</v>
      </c>
    </row>
    <row r="237" spans="1:14" s="58" customFormat="1" ht="10.5" customHeight="1">
      <c r="A237" s="56"/>
      <c r="B237" s="57"/>
      <c r="C237" s="57"/>
      <c r="D237" s="57"/>
      <c r="E237" s="298" t="s">
        <v>139</v>
      </c>
      <c r="F237" s="234"/>
      <c r="G237" s="234"/>
      <c r="H237" s="234"/>
      <c r="I237" s="234"/>
      <c r="J237" s="234"/>
      <c r="K237" s="234"/>
      <c r="L237" s="234"/>
      <c r="M237" s="234"/>
      <c r="N237" s="234"/>
    </row>
    <row r="238" spans="1:14" ht="24" customHeight="1">
      <c r="A238" s="56">
        <v>2851</v>
      </c>
      <c r="B238" s="57" t="s">
        <v>269</v>
      </c>
      <c r="C238" s="57">
        <v>5</v>
      </c>
      <c r="D238" s="57">
        <v>1</v>
      </c>
      <c r="E238" s="292" t="s">
        <v>286</v>
      </c>
      <c r="F238" s="234">
        <f>SUM(G238:H238)</f>
        <v>0</v>
      </c>
      <c r="G238" s="234"/>
      <c r="H238" s="234"/>
      <c r="I238" s="234">
        <f>SUM(J238:K238)</f>
        <v>0</v>
      </c>
      <c r="J238" s="234"/>
      <c r="K238" s="234"/>
      <c r="L238" s="234">
        <f>SUM(M238:N238)</f>
        <v>0</v>
      </c>
      <c r="M238" s="234"/>
      <c r="N238" s="234"/>
    </row>
    <row r="239" spans="1:14" ht="11.25" customHeight="1">
      <c r="A239" s="56">
        <v>2860</v>
      </c>
      <c r="B239" s="57" t="s">
        <v>269</v>
      </c>
      <c r="C239" s="57">
        <v>6</v>
      </c>
      <c r="D239" s="57">
        <v>0</v>
      </c>
      <c r="E239" s="292" t="s">
        <v>287</v>
      </c>
      <c r="F239" s="234">
        <f aca="true" t="shared" si="71" ref="F239:K239">SUM(F241)</f>
        <v>0</v>
      </c>
      <c r="G239" s="234">
        <f t="shared" si="71"/>
        <v>0</v>
      </c>
      <c r="H239" s="234">
        <f t="shared" si="71"/>
        <v>0</v>
      </c>
      <c r="I239" s="234">
        <f t="shared" si="71"/>
        <v>0</v>
      </c>
      <c r="J239" s="234">
        <f t="shared" si="71"/>
        <v>0</v>
      </c>
      <c r="K239" s="234">
        <f t="shared" si="71"/>
        <v>0</v>
      </c>
      <c r="L239" s="234">
        <f>SUM(L241)</f>
        <v>0</v>
      </c>
      <c r="M239" s="234">
        <f>SUM(M241)</f>
        <v>0</v>
      </c>
      <c r="N239" s="234">
        <f>SUM(N241)</f>
        <v>0</v>
      </c>
    </row>
    <row r="240" spans="1:14" s="58" customFormat="1" ht="10.5" customHeight="1">
      <c r="A240" s="56"/>
      <c r="B240" s="57"/>
      <c r="C240" s="57"/>
      <c r="D240" s="57"/>
      <c r="E240" s="298" t="s">
        <v>139</v>
      </c>
      <c r="F240" s="234"/>
      <c r="G240" s="234"/>
      <c r="H240" s="234"/>
      <c r="I240" s="234"/>
      <c r="J240" s="234"/>
      <c r="K240" s="234"/>
      <c r="L240" s="234"/>
      <c r="M240" s="234"/>
      <c r="N240" s="234"/>
    </row>
    <row r="241" spans="1:14" ht="18" customHeight="1">
      <c r="A241" s="56">
        <v>2861</v>
      </c>
      <c r="B241" s="57" t="s">
        <v>269</v>
      </c>
      <c r="C241" s="57">
        <v>6</v>
      </c>
      <c r="D241" s="57">
        <v>1</v>
      </c>
      <c r="E241" s="292" t="s">
        <v>287</v>
      </c>
      <c r="F241" s="234">
        <f>SUM(G241:H241)</f>
        <v>0</v>
      </c>
      <c r="G241" s="234"/>
      <c r="H241" s="234"/>
      <c r="I241" s="234">
        <f>SUM(J241:K241)</f>
        <v>0</v>
      </c>
      <c r="J241" s="234"/>
      <c r="K241" s="234"/>
      <c r="L241" s="234">
        <f>SUM(M241:N241)</f>
        <v>0</v>
      </c>
      <c r="M241" s="234"/>
      <c r="N241" s="234"/>
    </row>
    <row r="242" spans="1:14" s="55" customFormat="1" ht="44.25" customHeight="1">
      <c r="A242" s="56">
        <v>2900</v>
      </c>
      <c r="B242" s="57" t="s">
        <v>288</v>
      </c>
      <c r="C242" s="57">
        <v>0</v>
      </c>
      <c r="D242" s="57">
        <v>0</v>
      </c>
      <c r="E242" s="298" t="s">
        <v>385</v>
      </c>
      <c r="F242" s="234">
        <f aca="true" t="shared" si="72" ref="F242:K242">SUM(F244,F248,F252,F256,F260,F264,F267,F270)</f>
        <v>314046.6</v>
      </c>
      <c r="G242" s="234">
        <f t="shared" si="72"/>
        <v>310046.6</v>
      </c>
      <c r="H242" s="234">
        <f t="shared" si="72"/>
        <v>4000</v>
      </c>
      <c r="I242" s="234">
        <f t="shared" si="72"/>
        <v>317070.35</v>
      </c>
      <c r="J242" s="234">
        <f t="shared" si="72"/>
        <v>308545.35</v>
      </c>
      <c r="K242" s="234">
        <f t="shared" si="72"/>
        <v>8525</v>
      </c>
      <c r="L242" s="234">
        <f>SUM(L244,L248,L252,L256,L260,L264,L267,L270)</f>
        <v>196610.351</v>
      </c>
      <c r="M242" s="234">
        <f>SUM(M244,M248,M252,M256,M260,M264,M267,M270)</f>
        <v>193912.883</v>
      </c>
      <c r="N242" s="234">
        <f>SUM(N244,N248,N252,N256,N260,N264,N267,N270)</f>
        <v>2697.468</v>
      </c>
    </row>
    <row r="243" spans="1:14" ht="11.25" customHeight="1">
      <c r="A243" s="53"/>
      <c r="B243" s="57"/>
      <c r="C243" s="57"/>
      <c r="D243" s="57"/>
      <c r="E243" s="298" t="s">
        <v>21</v>
      </c>
      <c r="F243" s="234"/>
      <c r="G243" s="234"/>
      <c r="H243" s="234"/>
      <c r="I243" s="234"/>
      <c r="J243" s="234"/>
      <c r="K243" s="234"/>
      <c r="L243" s="234"/>
      <c r="M243" s="234"/>
      <c r="N243" s="234"/>
    </row>
    <row r="244" spans="1:14" ht="9" customHeight="1">
      <c r="A244" s="56">
        <v>2910</v>
      </c>
      <c r="B244" s="57" t="s">
        <v>288</v>
      </c>
      <c r="C244" s="57">
        <v>1</v>
      </c>
      <c r="D244" s="57">
        <v>0</v>
      </c>
      <c r="E244" s="298" t="s">
        <v>289</v>
      </c>
      <c r="F244" s="234">
        <f aca="true" t="shared" si="73" ref="F244:K244">SUM(F246:F247)</f>
        <v>219067.5</v>
      </c>
      <c r="G244" s="234">
        <f t="shared" si="73"/>
        <v>216567.5</v>
      </c>
      <c r="H244" s="234">
        <f t="shared" si="73"/>
        <v>2500</v>
      </c>
      <c r="I244" s="234">
        <f t="shared" si="73"/>
        <v>220667.5</v>
      </c>
      <c r="J244" s="234">
        <f t="shared" si="73"/>
        <v>216567.5</v>
      </c>
      <c r="K244" s="234">
        <f t="shared" si="73"/>
        <v>4100</v>
      </c>
      <c r="L244" s="234">
        <f>SUM(L246:L247)</f>
        <v>137012.258</v>
      </c>
      <c r="M244" s="234">
        <f>SUM(M246:M247)</f>
        <v>134694.79</v>
      </c>
      <c r="N244" s="234">
        <f>SUM(N246:N247)</f>
        <v>2317.468</v>
      </c>
    </row>
    <row r="245" spans="1:14" s="58" customFormat="1" ht="10.5" customHeight="1">
      <c r="A245" s="56"/>
      <c r="B245" s="57"/>
      <c r="C245" s="57"/>
      <c r="D245" s="57"/>
      <c r="E245" s="298" t="s">
        <v>139</v>
      </c>
      <c r="F245" s="234"/>
      <c r="G245" s="234"/>
      <c r="H245" s="234"/>
      <c r="I245" s="234"/>
      <c r="J245" s="234"/>
      <c r="K245" s="234"/>
      <c r="L245" s="234"/>
      <c r="M245" s="234"/>
      <c r="N245" s="234"/>
    </row>
    <row r="246" spans="1:14" ht="11.25" customHeight="1">
      <c r="A246" s="56">
        <v>2911</v>
      </c>
      <c r="B246" s="57" t="s">
        <v>288</v>
      </c>
      <c r="C246" s="57">
        <v>1</v>
      </c>
      <c r="D246" s="57">
        <v>1</v>
      </c>
      <c r="E246" s="298" t="s">
        <v>290</v>
      </c>
      <c r="F246" s="234">
        <f>SUM(G246:H246)</f>
        <v>219067.5</v>
      </c>
      <c r="G246" s="234">
        <v>216567.5</v>
      </c>
      <c r="H246" s="234">
        <f>2500</f>
        <v>2500</v>
      </c>
      <c r="I246" s="234">
        <f>SUM(J246:K246)</f>
        <v>220667.5</v>
      </c>
      <c r="J246" s="234">
        <v>216567.5</v>
      </c>
      <c r="K246" s="234">
        <f>2500+600+1000</f>
        <v>4100</v>
      </c>
      <c r="L246" s="234">
        <f>SUM(M246:N246)</f>
        <v>137012.258</v>
      </c>
      <c r="M246" s="234">
        <v>134694.79</v>
      </c>
      <c r="N246" s="234">
        <f>832+600+885.468</f>
        <v>2317.468</v>
      </c>
    </row>
    <row r="247" spans="1:14" ht="11.25" customHeight="1">
      <c r="A247" s="56">
        <v>2912</v>
      </c>
      <c r="B247" s="57" t="s">
        <v>288</v>
      </c>
      <c r="C247" s="57">
        <v>1</v>
      </c>
      <c r="D247" s="57">
        <v>2</v>
      </c>
      <c r="E247" s="298" t="s">
        <v>291</v>
      </c>
      <c r="F247" s="234">
        <f>SUM(G247:H247)</f>
        <v>0</v>
      </c>
      <c r="G247" s="234"/>
      <c r="H247" s="234"/>
      <c r="I247" s="234">
        <f>SUM(J247:K247)</f>
        <v>0</v>
      </c>
      <c r="J247" s="234"/>
      <c r="K247" s="234"/>
      <c r="L247" s="234">
        <f>SUM(M247:N247)</f>
        <v>0</v>
      </c>
      <c r="M247" s="234"/>
      <c r="N247" s="234"/>
    </row>
    <row r="248" spans="1:14" ht="11.25" customHeight="1">
      <c r="A248" s="56">
        <v>2920</v>
      </c>
      <c r="B248" s="57" t="s">
        <v>288</v>
      </c>
      <c r="C248" s="57">
        <v>2</v>
      </c>
      <c r="D248" s="57">
        <v>0</v>
      </c>
      <c r="E248" s="298" t="s">
        <v>292</v>
      </c>
      <c r="F248" s="234">
        <f aca="true" t="shared" si="74" ref="F248:K248">SUM(F250:F251)</f>
        <v>0</v>
      </c>
      <c r="G248" s="234">
        <f t="shared" si="74"/>
        <v>0</v>
      </c>
      <c r="H248" s="234">
        <f t="shared" si="74"/>
        <v>0</v>
      </c>
      <c r="I248" s="234">
        <f t="shared" si="74"/>
        <v>0</v>
      </c>
      <c r="J248" s="234">
        <f t="shared" si="74"/>
        <v>0</v>
      </c>
      <c r="K248" s="234">
        <f t="shared" si="74"/>
        <v>0</v>
      </c>
      <c r="L248" s="234">
        <f>SUM(L250:L251)</f>
        <v>0</v>
      </c>
      <c r="M248" s="234">
        <f>SUM(M250:M251)</f>
        <v>0</v>
      </c>
      <c r="N248" s="234">
        <f>SUM(N250:N251)</f>
        <v>0</v>
      </c>
    </row>
    <row r="249" spans="1:14" s="58" customFormat="1" ht="10.5" customHeight="1">
      <c r="A249" s="56"/>
      <c r="B249" s="57"/>
      <c r="C249" s="57"/>
      <c r="D249" s="57"/>
      <c r="E249" s="298" t="s">
        <v>139</v>
      </c>
      <c r="F249" s="234"/>
      <c r="G249" s="234"/>
      <c r="H249" s="234"/>
      <c r="I249" s="234"/>
      <c r="J249" s="234"/>
      <c r="K249" s="234"/>
      <c r="L249" s="234"/>
      <c r="M249" s="234"/>
      <c r="N249" s="234"/>
    </row>
    <row r="250" spans="1:14" ht="10.5" customHeight="1">
      <c r="A250" s="56">
        <v>2921</v>
      </c>
      <c r="B250" s="57" t="s">
        <v>288</v>
      </c>
      <c r="C250" s="57">
        <v>2</v>
      </c>
      <c r="D250" s="57">
        <v>1</v>
      </c>
      <c r="E250" s="298" t="s">
        <v>293</v>
      </c>
      <c r="F250" s="234">
        <f>SUM(G250:H250)</f>
        <v>0</v>
      </c>
      <c r="G250" s="234"/>
      <c r="H250" s="234"/>
      <c r="I250" s="234">
        <f>SUM(J250:K250)</f>
        <v>0</v>
      </c>
      <c r="J250" s="234"/>
      <c r="K250" s="234"/>
      <c r="L250" s="234">
        <f>SUM(M250:N250)</f>
        <v>0</v>
      </c>
      <c r="M250" s="234"/>
      <c r="N250" s="234"/>
    </row>
    <row r="251" spans="1:14" ht="15" customHeight="1">
      <c r="A251" s="56">
        <v>2922</v>
      </c>
      <c r="B251" s="57" t="s">
        <v>288</v>
      </c>
      <c r="C251" s="57">
        <v>2</v>
      </c>
      <c r="D251" s="57">
        <v>2</v>
      </c>
      <c r="E251" s="298" t="s">
        <v>294</v>
      </c>
      <c r="F251" s="234">
        <f>SUM(G251:H251)</f>
        <v>0</v>
      </c>
      <c r="G251" s="234"/>
      <c r="H251" s="234"/>
      <c r="I251" s="234">
        <f>SUM(J251:K251)</f>
        <v>0</v>
      </c>
      <c r="J251" s="234"/>
      <c r="K251" s="234"/>
      <c r="L251" s="234">
        <f>SUM(M251:N251)</f>
        <v>0</v>
      </c>
      <c r="M251" s="234"/>
      <c r="N251" s="234"/>
    </row>
    <row r="252" spans="1:14" ht="28.5" customHeight="1">
      <c r="A252" s="56">
        <v>2930</v>
      </c>
      <c r="B252" s="57" t="s">
        <v>288</v>
      </c>
      <c r="C252" s="57">
        <v>3</v>
      </c>
      <c r="D252" s="57">
        <v>0</v>
      </c>
      <c r="E252" s="298" t="s">
        <v>295</v>
      </c>
      <c r="F252" s="234">
        <f aca="true" t="shared" si="75" ref="F252:K252">SUM(F254:F255)</f>
        <v>0</v>
      </c>
      <c r="G252" s="234">
        <f t="shared" si="75"/>
        <v>0</v>
      </c>
      <c r="H252" s="234">
        <f t="shared" si="75"/>
        <v>0</v>
      </c>
      <c r="I252" s="234">
        <f t="shared" si="75"/>
        <v>0</v>
      </c>
      <c r="J252" s="234">
        <f t="shared" si="75"/>
        <v>0</v>
      </c>
      <c r="K252" s="234">
        <f t="shared" si="75"/>
        <v>0</v>
      </c>
      <c r="L252" s="234">
        <f>SUM(L254:L255)</f>
        <v>0</v>
      </c>
      <c r="M252" s="234">
        <f>SUM(M254:M255)</f>
        <v>0</v>
      </c>
      <c r="N252" s="234">
        <f>SUM(N254:N255)</f>
        <v>0</v>
      </c>
    </row>
    <row r="253" spans="1:14" s="58" customFormat="1" ht="10.5" customHeight="1">
      <c r="A253" s="56"/>
      <c r="B253" s="57"/>
      <c r="C253" s="57"/>
      <c r="D253" s="57"/>
      <c r="E253" s="298" t="s">
        <v>139</v>
      </c>
      <c r="F253" s="234"/>
      <c r="G253" s="234"/>
      <c r="H253" s="234"/>
      <c r="I253" s="234"/>
      <c r="J253" s="234"/>
      <c r="K253" s="234"/>
      <c r="L253" s="234"/>
      <c r="M253" s="234"/>
      <c r="N253" s="234"/>
    </row>
    <row r="254" spans="1:14" ht="16.5" customHeight="1">
      <c r="A254" s="56">
        <v>2931</v>
      </c>
      <c r="B254" s="57" t="s">
        <v>288</v>
      </c>
      <c r="C254" s="57">
        <v>3</v>
      </c>
      <c r="D254" s="57">
        <v>1</v>
      </c>
      <c r="E254" s="298" t="s">
        <v>296</v>
      </c>
      <c r="F254" s="234">
        <f>SUM(G254:H254)</f>
        <v>0</v>
      </c>
      <c r="G254" s="234"/>
      <c r="H254" s="234"/>
      <c r="I254" s="234">
        <f>SUM(J254:K254)</f>
        <v>0</v>
      </c>
      <c r="J254" s="234"/>
      <c r="K254" s="234"/>
      <c r="L254" s="234">
        <f>SUM(M254:N254)</f>
        <v>0</v>
      </c>
      <c r="M254" s="234"/>
      <c r="N254" s="234"/>
    </row>
    <row r="255" spans="1:14" ht="13.5" customHeight="1">
      <c r="A255" s="56">
        <v>2932</v>
      </c>
      <c r="B255" s="57" t="s">
        <v>288</v>
      </c>
      <c r="C255" s="57">
        <v>3</v>
      </c>
      <c r="D255" s="57">
        <v>2</v>
      </c>
      <c r="E255" s="298" t="s">
        <v>297</v>
      </c>
      <c r="F255" s="234">
        <f>SUM(G255:H255)</f>
        <v>0</v>
      </c>
      <c r="G255" s="234"/>
      <c r="H255" s="234"/>
      <c r="I255" s="234">
        <f>SUM(J255:K255)</f>
        <v>0</v>
      </c>
      <c r="J255" s="234"/>
      <c r="K255" s="234"/>
      <c r="L255" s="234">
        <f>SUM(M255:N255)</f>
        <v>0</v>
      </c>
      <c r="M255" s="234"/>
      <c r="N255" s="234"/>
    </row>
    <row r="256" spans="1:14" ht="13.5" customHeight="1">
      <c r="A256" s="56">
        <v>2940</v>
      </c>
      <c r="B256" s="57" t="s">
        <v>288</v>
      </c>
      <c r="C256" s="57">
        <v>4</v>
      </c>
      <c r="D256" s="57">
        <v>0</v>
      </c>
      <c r="E256" s="298" t="s">
        <v>298</v>
      </c>
      <c r="F256" s="234">
        <f aca="true" t="shared" si="76" ref="F256:K256">SUM(F258:F259)</f>
        <v>0</v>
      </c>
      <c r="G256" s="234">
        <f t="shared" si="76"/>
        <v>0</v>
      </c>
      <c r="H256" s="234">
        <f t="shared" si="76"/>
        <v>0</v>
      </c>
      <c r="I256" s="234">
        <f t="shared" si="76"/>
        <v>0</v>
      </c>
      <c r="J256" s="234">
        <f t="shared" si="76"/>
        <v>0</v>
      </c>
      <c r="K256" s="234">
        <f t="shared" si="76"/>
        <v>0</v>
      </c>
      <c r="L256" s="234">
        <f>SUM(L258:L259)</f>
        <v>0</v>
      </c>
      <c r="M256" s="234">
        <f>SUM(M258:M259)</f>
        <v>0</v>
      </c>
      <c r="N256" s="234">
        <f>SUM(N258:N259)</f>
        <v>0</v>
      </c>
    </row>
    <row r="257" spans="1:14" s="58" customFormat="1" ht="12.75" customHeight="1">
      <c r="A257" s="56"/>
      <c r="B257" s="57"/>
      <c r="C257" s="57"/>
      <c r="D257" s="57"/>
      <c r="E257" s="298" t="s">
        <v>139</v>
      </c>
      <c r="F257" s="234"/>
      <c r="G257" s="234"/>
      <c r="H257" s="234"/>
      <c r="I257" s="234"/>
      <c r="J257" s="234"/>
      <c r="K257" s="234"/>
      <c r="L257" s="234"/>
      <c r="M257" s="234"/>
      <c r="N257" s="234"/>
    </row>
    <row r="258" spans="1:14" ht="15.75" customHeight="1">
      <c r="A258" s="56">
        <v>2941</v>
      </c>
      <c r="B258" s="57" t="s">
        <v>288</v>
      </c>
      <c r="C258" s="57">
        <v>4</v>
      </c>
      <c r="D258" s="57">
        <v>1</v>
      </c>
      <c r="E258" s="298" t="s">
        <v>299</v>
      </c>
      <c r="F258" s="234">
        <f>SUM(G258:H258)</f>
        <v>0</v>
      </c>
      <c r="G258" s="234"/>
      <c r="H258" s="234"/>
      <c r="I258" s="234">
        <f>SUM(J258:K258)</f>
        <v>0</v>
      </c>
      <c r="J258" s="234"/>
      <c r="K258" s="234"/>
      <c r="L258" s="234">
        <f>SUM(M258:N258)</f>
        <v>0</v>
      </c>
      <c r="M258" s="234"/>
      <c r="N258" s="234"/>
    </row>
    <row r="259" spans="1:14" ht="15.75" customHeight="1">
      <c r="A259" s="56">
        <v>2942</v>
      </c>
      <c r="B259" s="57" t="s">
        <v>288</v>
      </c>
      <c r="C259" s="57">
        <v>4</v>
      </c>
      <c r="D259" s="57">
        <v>2</v>
      </c>
      <c r="E259" s="298" t="s">
        <v>300</v>
      </c>
      <c r="F259" s="234">
        <f>SUM(G259:H259)</f>
        <v>0</v>
      </c>
      <c r="G259" s="234"/>
      <c r="H259" s="234"/>
      <c r="I259" s="234">
        <f>SUM(J259:K259)</f>
        <v>0</v>
      </c>
      <c r="J259" s="234"/>
      <c r="K259" s="234"/>
      <c r="L259" s="234">
        <f>SUM(M259:N259)</f>
        <v>0</v>
      </c>
      <c r="M259" s="234"/>
      <c r="N259" s="234"/>
    </row>
    <row r="260" spans="1:14" ht="15.75" customHeight="1">
      <c r="A260" s="56">
        <v>2950</v>
      </c>
      <c r="B260" s="57" t="s">
        <v>288</v>
      </c>
      <c r="C260" s="57">
        <v>5</v>
      </c>
      <c r="D260" s="57">
        <v>0</v>
      </c>
      <c r="E260" s="298" t="s">
        <v>301</v>
      </c>
      <c r="F260" s="234">
        <f aca="true" t="shared" si="77" ref="F260:K260">SUM(F262:F263)</f>
        <v>94979.1</v>
      </c>
      <c r="G260" s="234">
        <f t="shared" si="77"/>
        <v>93479.1</v>
      </c>
      <c r="H260" s="234">
        <f t="shared" si="77"/>
        <v>1500</v>
      </c>
      <c r="I260" s="234">
        <f t="shared" si="77"/>
        <v>96402.85</v>
      </c>
      <c r="J260" s="234">
        <f t="shared" si="77"/>
        <v>91977.85</v>
      </c>
      <c r="K260" s="234">
        <f t="shared" si="77"/>
        <v>4425</v>
      </c>
      <c r="L260" s="234">
        <f>SUM(L262:L263)</f>
        <v>59598.093</v>
      </c>
      <c r="M260" s="234">
        <f>SUM(M262:M263)</f>
        <v>59218.093</v>
      </c>
      <c r="N260" s="234">
        <f>SUM(N262:N263)</f>
        <v>380</v>
      </c>
    </row>
    <row r="261" spans="1:14" s="58" customFormat="1" ht="10.5" customHeight="1">
      <c r="A261" s="56"/>
      <c r="B261" s="57"/>
      <c r="C261" s="57"/>
      <c r="D261" s="57"/>
      <c r="E261" s="298" t="s">
        <v>139</v>
      </c>
      <c r="F261" s="234"/>
      <c r="G261" s="234"/>
      <c r="H261" s="234"/>
      <c r="I261" s="234"/>
      <c r="J261" s="234"/>
      <c r="K261" s="234"/>
      <c r="L261" s="234"/>
      <c r="M261" s="234"/>
      <c r="N261" s="234"/>
    </row>
    <row r="262" spans="1:14" ht="12.75" customHeight="1">
      <c r="A262" s="56">
        <v>2951</v>
      </c>
      <c r="B262" s="57" t="s">
        <v>288</v>
      </c>
      <c r="C262" s="57">
        <v>5</v>
      </c>
      <c r="D262" s="57">
        <v>1</v>
      </c>
      <c r="E262" s="298" t="s">
        <v>302</v>
      </c>
      <c r="F262" s="234">
        <f>SUM(G262:H262)</f>
        <v>94979.1</v>
      </c>
      <c r="G262" s="234">
        <f>93479.1</f>
        <v>93479.1</v>
      </c>
      <c r="H262" s="234">
        <f>1500</f>
        <v>1500</v>
      </c>
      <c r="I262" s="234">
        <f>SUM(J262:K262)</f>
        <v>96402.85</v>
      </c>
      <c r="J262" s="234">
        <v>91977.85</v>
      </c>
      <c r="K262" s="234">
        <f>1500+270+2655</f>
        <v>4425</v>
      </c>
      <c r="L262" s="234">
        <f>SUM(M262:N262)</f>
        <v>59598.093</v>
      </c>
      <c r="M262" s="234">
        <v>59218.093</v>
      </c>
      <c r="N262" s="234">
        <f>270+110</f>
        <v>380</v>
      </c>
    </row>
    <row r="263" spans="1:14" ht="12.75" customHeight="1">
      <c r="A263" s="56">
        <v>2952</v>
      </c>
      <c r="B263" s="57" t="s">
        <v>288</v>
      </c>
      <c r="C263" s="57">
        <v>5</v>
      </c>
      <c r="D263" s="57">
        <v>2</v>
      </c>
      <c r="E263" s="298" t="s">
        <v>303</v>
      </c>
      <c r="F263" s="234">
        <f>SUM(G263:H263)</f>
        <v>0</v>
      </c>
      <c r="G263" s="234"/>
      <c r="H263" s="234"/>
      <c r="I263" s="234">
        <f>SUM(J263:K263)</f>
        <v>0</v>
      </c>
      <c r="J263" s="234"/>
      <c r="K263" s="234"/>
      <c r="L263" s="234">
        <f>SUM(M263:N263)</f>
        <v>0</v>
      </c>
      <c r="M263" s="234"/>
      <c r="N263" s="234"/>
    </row>
    <row r="264" spans="1:14" ht="12.75" customHeight="1">
      <c r="A264" s="56">
        <v>2960</v>
      </c>
      <c r="B264" s="57" t="s">
        <v>288</v>
      </c>
      <c r="C264" s="57">
        <v>6</v>
      </c>
      <c r="D264" s="57">
        <v>0</v>
      </c>
      <c r="E264" s="298" t="s">
        <v>304</v>
      </c>
      <c r="F264" s="234">
        <f aca="true" t="shared" si="78" ref="F264:K264">SUM(F266)</f>
        <v>0</v>
      </c>
      <c r="G264" s="234">
        <f t="shared" si="78"/>
        <v>0</v>
      </c>
      <c r="H264" s="234">
        <f t="shared" si="78"/>
        <v>0</v>
      </c>
      <c r="I264" s="234">
        <f t="shared" si="78"/>
        <v>0</v>
      </c>
      <c r="J264" s="234">
        <f t="shared" si="78"/>
        <v>0</v>
      </c>
      <c r="K264" s="234">
        <f t="shared" si="78"/>
        <v>0</v>
      </c>
      <c r="L264" s="234">
        <f>SUM(L266)</f>
        <v>0</v>
      </c>
      <c r="M264" s="234">
        <f>SUM(M266)</f>
        <v>0</v>
      </c>
      <c r="N264" s="234">
        <f>SUM(N266)</f>
        <v>0</v>
      </c>
    </row>
    <row r="265" spans="1:14" s="58" customFormat="1" ht="14.25" customHeight="1">
      <c r="A265" s="56"/>
      <c r="B265" s="57"/>
      <c r="C265" s="57"/>
      <c r="D265" s="57"/>
      <c r="E265" s="298" t="s">
        <v>139</v>
      </c>
      <c r="F265" s="234"/>
      <c r="G265" s="234"/>
      <c r="H265" s="234"/>
      <c r="I265" s="234"/>
      <c r="J265" s="234"/>
      <c r="K265" s="234"/>
      <c r="L265" s="234"/>
      <c r="M265" s="234"/>
      <c r="N265" s="234"/>
    </row>
    <row r="266" spans="1:14" ht="16.5" customHeight="1">
      <c r="A266" s="59">
        <v>2961</v>
      </c>
      <c r="B266" s="57" t="s">
        <v>288</v>
      </c>
      <c r="C266" s="57">
        <v>6</v>
      </c>
      <c r="D266" s="57">
        <v>1</v>
      </c>
      <c r="E266" s="298" t="s">
        <v>304</v>
      </c>
      <c r="F266" s="234">
        <f>SUM(G266:H266)</f>
        <v>0</v>
      </c>
      <c r="G266" s="234"/>
      <c r="H266" s="234"/>
      <c r="I266" s="234">
        <f>SUM(J266:K266)</f>
        <v>0</v>
      </c>
      <c r="J266" s="234"/>
      <c r="K266" s="234"/>
      <c r="L266" s="234">
        <f>SUM(M266:N266)</f>
        <v>0</v>
      </c>
      <c r="M266" s="234"/>
      <c r="N266" s="234"/>
    </row>
    <row r="267" spans="1:14" ht="26.25" customHeight="1">
      <c r="A267" s="59">
        <v>2970</v>
      </c>
      <c r="B267" s="57" t="s">
        <v>288</v>
      </c>
      <c r="C267" s="57">
        <v>7</v>
      </c>
      <c r="D267" s="57">
        <v>0</v>
      </c>
      <c r="E267" s="298" t="s">
        <v>305</v>
      </c>
      <c r="F267" s="234">
        <f aca="true" t="shared" si="79" ref="F267:K267">SUM(F269)</f>
        <v>0</v>
      </c>
      <c r="G267" s="234">
        <f t="shared" si="79"/>
        <v>0</v>
      </c>
      <c r="H267" s="234">
        <f t="shared" si="79"/>
        <v>0</v>
      </c>
      <c r="I267" s="234">
        <f t="shared" si="79"/>
        <v>0</v>
      </c>
      <c r="J267" s="234">
        <f t="shared" si="79"/>
        <v>0</v>
      </c>
      <c r="K267" s="234">
        <f t="shared" si="79"/>
        <v>0</v>
      </c>
      <c r="L267" s="234">
        <f>SUM(L269)</f>
        <v>0</v>
      </c>
      <c r="M267" s="234">
        <f>SUM(M269)</f>
        <v>0</v>
      </c>
      <c r="N267" s="234">
        <f>SUM(N269)</f>
        <v>0</v>
      </c>
    </row>
    <row r="268" spans="1:14" s="58" customFormat="1" ht="10.5" customHeight="1">
      <c r="A268" s="59"/>
      <c r="B268" s="57"/>
      <c r="C268" s="57"/>
      <c r="D268" s="57"/>
      <c r="E268" s="298" t="s">
        <v>139</v>
      </c>
      <c r="F268" s="234"/>
      <c r="G268" s="234"/>
      <c r="H268" s="234"/>
      <c r="I268" s="234"/>
      <c r="J268" s="234"/>
      <c r="K268" s="234"/>
      <c r="L268" s="234"/>
      <c r="M268" s="234"/>
      <c r="N268" s="234"/>
    </row>
    <row r="269" spans="1:14" ht="27.75" customHeight="1">
      <c r="A269" s="59">
        <v>2971</v>
      </c>
      <c r="B269" s="57" t="s">
        <v>288</v>
      </c>
      <c r="C269" s="57">
        <v>7</v>
      </c>
      <c r="D269" s="57">
        <v>1</v>
      </c>
      <c r="E269" s="298" t="s">
        <v>305</v>
      </c>
      <c r="F269" s="234">
        <f>SUM(G269:H269)</f>
        <v>0</v>
      </c>
      <c r="G269" s="234"/>
      <c r="H269" s="234"/>
      <c r="I269" s="234">
        <f>SUM(J269:K269)</f>
        <v>0</v>
      </c>
      <c r="J269" s="234"/>
      <c r="K269" s="234"/>
      <c r="L269" s="234">
        <f>SUM(M269:N269)</f>
        <v>0</v>
      </c>
      <c r="M269" s="234"/>
      <c r="N269" s="234"/>
    </row>
    <row r="270" spans="1:14" ht="15.75" customHeight="1">
      <c r="A270" s="59">
        <v>2980</v>
      </c>
      <c r="B270" s="57" t="s">
        <v>288</v>
      </c>
      <c r="C270" s="57">
        <v>8</v>
      </c>
      <c r="D270" s="57">
        <v>0</v>
      </c>
      <c r="E270" s="298" t="s">
        <v>306</v>
      </c>
      <c r="F270" s="234">
        <f aca="true" t="shared" si="80" ref="F270:K270">SUM(F272)</f>
        <v>0</v>
      </c>
      <c r="G270" s="234">
        <f t="shared" si="80"/>
        <v>0</v>
      </c>
      <c r="H270" s="234">
        <f t="shared" si="80"/>
        <v>0</v>
      </c>
      <c r="I270" s="234">
        <f t="shared" si="80"/>
        <v>0</v>
      </c>
      <c r="J270" s="234">
        <f t="shared" si="80"/>
        <v>0</v>
      </c>
      <c r="K270" s="234">
        <f t="shared" si="80"/>
        <v>0</v>
      </c>
      <c r="L270" s="234">
        <f>SUM(L272)</f>
        <v>0</v>
      </c>
      <c r="M270" s="234">
        <f>SUM(M272)</f>
        <v>0</v>
      </c>
      <c r="N270" s="234">
        <f>SUM(N272)</f>
        <v>0</v>
      </c>
    </row>
    <row r="271" spans="1:14" s="58" customFormat="1" ht="10.5" customHeight="1">
      <c r="A271" s="59"/>
      <c r="B271" s="57"/>
      <c r="C271" s="57"/>
      <c r="D271" s="57"/>
      <c r="E271" s="298" t="s">
        <v>139</v>
      </c>
      <c r="F271" s="234"/>
      <c r="G271" s="234"/>
      <c r="H271" s="234"/>
      <c r="I271" s="234"/>
      <c r="J271" s="234"/>
      <c r="K271" s="234"/>
      <c r="L271" s="234"/>
      <c r="M271" s="234"/>
      <c r="N271" s="234"/>
    </row>
    <row r="272" spans="1:14" ht="15" customHeight="1">
      <c r="A272" s="59">
        <v>2981</v>
      </c>
      <c r="B272" s="57" t="s">
        <v>288</v>
      </c>
      <c r="C272" s="57">
        <v>8</v>
      </c>
      <c r="D272" s="57">
        <v>1</v>
      </c>
      <c r="E272" s="298" t="s">
        <v>306</v>
      </c>
      <c r="F272" s="234">
        <f>SUM(G272:H272)</f>
        <v>0</v>
      </c>
      <c r="G272" s="234"/>
      <c r="H272" s="234"/>
      <c r="I272" s="234">
        <f>SUM(J272:K272)</f>
        <v>0</v>
      </c>
      <c r="J272" s="234"/>
      <c r="K272" s="234"/>
      <c r="L272" s="234">
        <f>SUM(M272:N272)</f>
        <v>0</v>
      </c>
      <c r="M272" s="234"/>
      <c r="N272" s="234"/>
    </row>
    <row r="273" spans="1:14" s="55" customFormat="1" ht="38.25" customHeight="1">
      <c r="A273" s="59">
        <v>3000</v>
      </c>
      <c r="B273" s="57" t="s">
        <v>307</v>
      </c>
      <c r="C273" s="57">
        <v>0</v>
      </c>
      <c r="D273" s="57">
        <v>0</v>
      </c>
      <c r="E273" s="298" t="s">
        <v>386</v>
      </c>
      <c r="F273" s="234">
        <f aca="true" t="shared" si="81" ref="F273:K273">SUM(F275,F279,F282,F285,F288,F291,F294,F297,F301)</f>
        <v>10880</v>
      </c>
      <c r="G273" s="234">
        <f t="shared" si="81"/>
        <v>10880</v>
      </c>
      <c r="H273" s="234">
        <f t="shared" si="81"/>
        <v>0</v>
      </c>
      <c r="I273" s="234">
        <f t="shared" si="81"/>
        <v>10880</v>
      </c>
      <c r="J273" s="234">
        <f t="shared" si="81"/>
        <v>10880</v>
      </c>
      <c r="K273" s="234">
        <f t="shared" si="81"/>
        <v>0</v>
      </c>
      <c r="L273" s="234">
        <f>SUM(L275,L279,L282,L285,L288,L291,L294,L297,L301)</f>
        <v>7139</v>
      </c>
      <c r="M273" s="234">
        <f>SUM(M275,M279,M282,M285,M288,M291,M294,M297,M301)</f>
        <v>7139</v>
      </c>
      <c r="N273" s="234">
        <f>SUM(N275,N279,N282,N285,N288,N291,N294,N297,N301)</f>
        <v>0</v>
      </c>
    </row>
    <row r="274" spans="1:14" ht="11.25" customHeight="1">
      <c r="A274" s="59"/>
      <c r="B274" s="57"/>
      <c r="C274" s="57"/>
      <c r="D274" s="57"/>
      <c r="E274" s="298" t="s">
        <v>21</v>
      </c>
      <c r="F274" s="234"/>
      <c r="G274" s="234"/>
      <c r="H274" s="234"/>
      <c r="I274" s="234"/>
      <c r="J274" s="234"/>
      <c r="K274" s="234"/>
      <c r="L274" s="234"/>
      <c r="M274" s="234"/>
      <c r="N274" s="234"/>
    </row>
    <row r="275" spans="1:14" ht="18" customHeight="1">
      <c r="A275" s="59">
        <v>3010</v>
      </c>
      <c r="B275" s="57" t="s">
        <v>307</v>
      </c>
      <c r="C275" s="57">
        <v>1</v>
      </c>
      <c r="D275" s="57">
        <v>0</v>
      </c>
      <c r="E275" s="298" t="s">
        <v>308</v>
      </c>
      <c r="F275" s="234">
        <f aca="true" t="shared" si="82" ref="F275:K275">SUM(F277:F278)</f>
        <v>0</v>
      </c>
      <c r="G275" s="234">
        <f t="shared" si="82"/>
        <v>0</v>
      </c>
      <c r="H275" s="234">
        <f t="shared" si="82"/>
        <v>0</v>
      </c>
      <c r="I275" s="234">
        <f t="shared" si="82"/>
        <v>0</v>
      </c>
      <c r="J275" s="234">
        <f t="shared" si="82"/>
        <v>0</v>
      </c>
      <c r="K275" s="234">
        <f t="shared" si="82"/>
        <v>0</v>
      </c>
      <c r="L275" s="234">
        <f>SUM(L277:L278)</f>
        <v>0</v>
      </c>
      <c r="M275" s="234">
        <f>SUM(M277:M278)</f>
        <v>0</v>
      </c>
      <c r="N275" s="234">
        <f>SUM(N277:N278)</f>
        <v>0</v>
      </c>
    </row>
    <row r="276" spans="1:14" s="58" customFormat="1" ht="16.5" customHeight="1">
      <c r="A276" s="59"/>
      <c r="B276" s="57"/>
      <c r="C276" s="57"/>
      <c r="D276" s="57"/>
      <c r="E276" s="298" t="s">
        <v>139</v>
      </c>
      <c r="F276" s="234"/>
      <c r="G276" s="234"/>
      <c r="H276" s="234"/>
      <c r="I276" s="234"/>
      <c r="J276" s="234"/>
      <c r="K276" s="234"/>
      <c r="L276" s="234"/>
      <c r="M276" s="234"/>
      <c r="N276" s="234"/>
    </row>
    <row r="277" spans="1:14" ht="18.75" customHeight="1">
      <c r="A277" s="59">
        <v>3011</v>
      </c>
      <c r="B277" s="57" t="s">
        <v>307</v>
      </c>
      <c r="C277" s="57">
        <v>1</v>
      </c>
      <c r="D277" s="57">
        <v>1</v>
      </c>
      <c r="E277" s="298" t="s">
        <v>309</v>
      </c>
      <c r="F277" s="234">
        <f>SUM(G277:H277)</f>
        <v>0</v>
      </c>
      <c r="G277" s="234"/>
      <c r="H277" s="234"/>
      <c r="I277" s="234">
        <f>SUM(J277:K277)</f>
        <v>0</v>
      </c>
      <c r="J277" s="234"/>
      <c r="K277" s="234"/>
      <c r="L277" s="234">
        <f>SUM(M277:N277)</f>
        <v>0</v>
      </c>
      <c r="M277" s="234"/>
      <c r="N277" s="234"/>
    </row>
    <row r="278" spans="1:14" ht="17.25" customHeight="1">
      <c r="A278" s="59">
        <v>3012</v>
      </c>
      <c r="B278" s="57" t="s">
        <v>307</v>
      </c>
      <c r="C278" s="57">
        <v>1</v>
      </c>
      <c r="D278" s="57">
        <v>2</v>
      </c>
      <c r="E278" s="298" t="s">
        <v>310</v>
      </c>
      <c r="F278" s="234">
        <f>SUM(G278:H278)</f>
        <v>0</v>
      </c>
      <c r="G278" s="234"/>
      <c r="H278" s="234"/>
      <c r="I278" s="234">
        <f>SUM(J278:K278)</f>
        <v>0</v>
      </c>
      <c r="J278" s="234"/>
      <c r="K278" s="234"/>
      <c r="L278" s="234">
        <f>SUM(M278:N278)</f>
        <v>0</v>
      </c>
      <c r="M278" s="234"/>
      <c r="N278" s="234"/>
    </row>
    <row r="279" spans="1:14" ht="15" customHeight="1">
      <c r="A279" s="59">
        <v>3020</v>
      </c>
      <c r="B279" s="57" t="s">
        <v>307</v>
      </c>
      <c r="C279" s="57">
        <v>2</v>
      </c>
      <c r="D279" s="57">
        <v>0</v>
      </c>
      <c r="E279" s="298" t="s">
        <v>311</v>
      </c>
      <c r="F279" s="234">
        <f aca="true" t="shared" si="83" ref="F279:K279">SUM(F281)</f>
        <v>0</v>
      </c>
      <c r="G279" s="234">
        <f t="shared" si="83"/>
        <v>0</v>
      </c>
      <c r="H279" s="234">
        <f t="shared" si="83"/>
        <v>0</v>
      </c>
      <c r="I279" s="234">
        <f t="shared" si="83"/>
        <v>0</v>
      </c>
      <c r="J279" s="234">
        <f t="shared" si="83"/>
        <v>0</v>
      </c>
      <c r="K279" s="234">
        <f t="shared" si="83"/>
        <v>0</v>
      </c>
      <c r="L279" s="234">
        <f>SUM(L281)</f>
        <v>0</v>
      </c>
      <c r="M279" s="234">
        <f>SUM(M281)</f>
        <v>0</v>
      </c>
      <c r="N279" s="234">
        <f>SUM(N281)</f>
        <v>0</v>
      </c>
    </row>
    <row r="280" spans="1:14" s="58" customFormat="1" ht="10.5" customHeight="1">
      <c r="A280" s="59"/>
      <c r="B280" s="57"/>
      <c r="C280" s="57"/>
      <c r="D280" s="57"/>
      <c r="E280" s="298" t="s">
        <v>139</v>
      </c>
      <c r="F280" s="234"/>
      <c r="G280" s="234"/>
      <c r="H280" s="234"/>
      <c r="I280" s="234"/>
      <c r="J280" s="234"/>
      <c r="K280" s="234"/>
      <c r="L280" s="234"/>
      <c r="M280" s="234"/>
      <c r="N280" s="234"/>
    </row>
    <row r="281" spans="1:14" ht="15.75" customHeight="1">
      <c r="A281" s="59">
        <v>3021</v>
      </c>
      <c r="B281" s="57" t="s">
        <v>307</v>
      </c>
      <c r="C281" s="57">
        <v>2</v>
      </c>
      <c r="D281" s="57">
        <v>1</v>
      </c>
      <c r="E281" s="298" t="s">
        <v>311</v>
      </c>
      <c r="F281" s="234">
        <f>SUM(G281:H281)</f>
        <v>0</v>
      </c>
      <c r="G281" s="234"/>
      <c r="H281" s="234"/>
      <c r="I281" s="234">
        <f>SUM(J281:K281)</f>
        <v>0</v>
      </c>
      <c r="J281" s="234"/>
      <c r="K281" s="234"/>
      <c r="L281" s="234">
        <f>SUM(M281:N281)</f>
        <v>0</v>
      </c>
      <c r="M281" s="234"/>
      <c r="N281" s="234"/>
    </row>
    <row r="282" spans="1:14" ht="14.25" customHeight="1">
      <c r="A282" s="59">
        <v>3030</v>
      </c>
      <c r="B282" s="57" t="s">
        <v>307</v>
      </c>
      <c r="C282" s="57">
        <v>3</v>
      </c>
      <c r="D282" s="57">
        <v>0</v>
      </c>
      <c r="E282" s="298" t="s">
        <v>312</v>
      </c>
      <c r="F282" s="234">
        <f aca="true" t="shared" si="84" ref="F282:K282">SUM(F284)</f>
        <v>0</v>
      </c>
      <c r="G282" s="234">
        <f t="shared" si="84"/>
        <v>0</v>
      </c>
      <c r="H282" s="234">
        <f t="shared" si="84"/>
        <v>0</v>
      </c>
      <c r="I282" s="234">
        <f t="shared" si="84"/>
        <v>0</v>
      </c>
      <c r="J282" s="234">
        <f t="shared" si="84"/>
        <v>0</v>
      </c>
      <c r="K282" s="234">
        <f t="shared" si="84"/>
        <v>0</v>
      </c>
      <c r="L282" s="234">
        <f>SUM(L284)</f>
        <v>0</v>
      </c>
      <c r="M282" s="234">
        <f>SUM(M284)</f>
        <v>0</v>
      </c>
      <c r="N282" s="234">
        <f>SUM(N284)</f>
        <v>0</v>
      </c>
    </row>
    <row r="283" spans="1:14" s="58" customFormat="1" ht="15">
      <c r="A283" s="59"/>
      <c r="B283" s="57"/>
      <c r="C283" s="57"/>
      <c r="D283" s="57"/>
      <c r="E283" s="298" t="s">
        <v>139</v>
      </c>
      <c r="F283" s="234"/>
      <c r="G283" s="234"/>
      <c r="H283" s="234"/>
      <c r="I283" s="234"/>
      <c r="J283" s="234"/>
      <c r="K283" s="234"/>
      <c r="L283" s="234"/>
      <c r="M283" s="234"/>
      <c r="N283" s="234"/>
    </row>
    <row r="284" spans="1:14" s="58" customFormat="1" ht="15">
      <c r="A284" s="59">
        <v>3031</v>
      </c>
      <c r="B284" s="57" t="s">
        <v>307</v>
      </c>
      <c r="C284" s="57">
        <v>3</v>
      </c>
      <c r="D284" s="57" t="s">
        <v>137</v>
      </c>
      <c r="E284" s="298" t="s">
        <v>312</v>
      </c>
      <c r="F284" s="234">
        <f>SUM(G284:H284)</f>
        <v>0</v>
      </c>
      <c r="G284" s="234"/>
      <c r="H284" s="234"/>
      <c r="I284" s="234">
        <f>SUM(J284:K284)</f>
        <v>0</v>
      </c>
      <c r="J284" s="234"/>
      <c r="K284" s="234"/>
      <c r="L284" s="234">
        <f>SUM(M284:N284)</f>
        <v>0</v>
      </c>
      <c r="M284" s="234"/>
      <c r="N284" s="234"/>
    </row>
    <row r="285" spans="1:14" ht="18" customHeight="1">
      <c r="A285" s="59">
        <v>3040</v>
      </c>
      <c r="B285" s="57" t="s">
        <v>307</v>
      </c>
      <c r="C285" s="57">
        <v>4</v>
      </c>
      <c r="D285" s="57">
        <v>0</v>
      </c>
      <c r="E285" s="298" t="s">
        <v>313</v>
      </c>
      <c r="F285" s="234">
        <f aca="true" t="shared" si="85" ref="F285:K285">SUM(F287)</f>
        <v>4000</v>
      </c>
      <c r="G285" s="234">
        <f t="shared" si="85"/>
        <v>4000</v>
      </c>
      <c r="H285" s="234">
        <f t="shared" si="85"/>
        <v>0</v>
      </c>
      <c r="I285" s="234">
        <f t="shared" si="85"/>
        <v>4000</v>
      </c>
      <c r="J285" s="234">
        <f t="shared" si="85"/>
        <v>4000</v>
      </c>
      <c r="K285" s="234">
        <f t="shared" si="85"/>
        <v>0</v>
      </c>
      <c r="L285" s="234">
        <f>SUM(L287)</f>
        <v>3000</v>
      </c>
      <c r="M285" s="234">
        <f>SUM(M287)</f>
        <v>3000</v>
      </c>
      <c r="N285" s="234">
        <f>SUM(N287)</f>
        <v>0</v>
      </c>
    </row>
    <row r="286" spans="1:14" s="58" customFormat="1" ht="10.5" customHeight="1">
      <c r="A286" s="59"/>
      <c r="B286" s="57"/>
      <c r="C286" s="57"/>
      <c r="D286" s="57"/>
      <c r="E286" s="298" t="s">
        <v>139</v>
      </c>
      <c r="F286" s="234"/>
      <c r="G286" s="234"/>
      <c r="H286" s="234"/>
      <c r="I286" s="234"/>
      <c r="J286" s="234"/>
      <c r="K286" s="234"/>
      <c r="L286" s="234"/>
      <c r="M286" s="234"/>
      <c r="N286" s="234"/>
    </row>
    <row r="287" spans="1:14" ht="16.5" customHeight="1">
      <c r="A287" s="59">
        <v>3041</v>
      </c>
      <c r="B287" s="57" t="s">
        <v>307</v>
      </c>
      <c r="C287" s="57">
        <v>4</v>
      </c>
      <c r="D287" s="57">
        <v>1</v>
      </c>
      <c r="E287" s="298" t="s">
        <v>313</v>
      </c>
      <c r="F287" s="234">
        <f>SUM(G287:H287)</f>
        <v>4000</v>
      </c>
      <c r="G287" s="234">
        <f>4000</f>
        <v>4000</v>
      </c>
      <c r="H287" s="234"/>
      <c r="I287" s="234">
        <f>SUM(J287:K287)</f>
        <v>4000</v>
      </c>
      <c r="J287" s="234">
        <f>4000</f>
        <v>4000</v>
      </c>
      <c r="K287" s="234"/>
      <c r="L287" s="234">
        <f>SUM(M287:N287)</f>
        <v>3000</v>
      </c>
      <c r="M287" s="234">
        <v>3000</v>
      </c>
      <c r="N287" s="234"/>
    </row>
    <row r="288" spans="1:14" ht="12" customHeight="1">
      <c r="A288" s="59">
        <v>3050</v>
      </c>
      <c r="B288" s="57" t="s">
        <v>307</v>
      </c>
      <c r="C288" s="57">
        <v>5</v>
      </c>
      <c r="D288" s="57">
        <v>0</v>
      </c>
      <c r="E288" s="298" t="s">
        <v>314</v>
      </c>
      <c r="F288" s="234">
        <f aca="true" t="shared" si="86" ref="F288:K288">SUM(F290)</f>
        <v>0</v>
      </c>
      <c r="G288" s="234">
        <f t="shared" si="86"/>
        <v>0</v>
      </c>
      <c r="H288" s="234">
        <f t="shared" si="86"/>
        <v>0</v>
      </c>
      <c r="I288" s="234">
        <f t="shared" si="86"/>
        <v>0</v>
      </c>
      <c r="J288" s="234">
        <f t="shared" si="86"/>
        <v>0</v>
      </c>
      <c r="K288" s="234">
        <f t="shared" si="86"/>
        <v>0</v>
      </c>
      <c r="L288" s="234">
        <f>SUM(L290)</f>
        <v>0</v>
      </c>
      <c r="M288" s="234">
        <f>SUM(M290)</f>
        <v>0</v>
      </c>
      <c r="N288" s="234">
        <f>SUM(N290)</f>
        <v>0</v>
      </c>
    </row>
    <row r="289" spans="1:14" s="58" customFormat="1" ht="10.5" customHeight="1">
      <c r="A289" s="59"/>
      <c r="B289" s="57"/>
      <c r="C289" s="57"/>
      <c r="D289" s="57"/>
      <c r="E289" s="298" t="s">
        <v>139</v>
      </c>
      <c r="F289" s="234"/>
      <c r="G289" s="234"/>
      <c r="H289" s="234"/>
      <c r="I289" s="234"/>
      <c r="J289" s="234"/>
      <c r="K289" s="234"/>
      <c r="L289" s="234"/>
      <c r="M289" s="234"/>
      <c r="N289" s="234"/>
    </row>
    <row r="290" spans="1:14" ht="15.75" customHeight="1">
      <c r="A290" s="59">
        <v>3051</v>
      </c>
      <c r="B290" s="57" t="s">
        <v>307</v>
      </c>
      <c r="C290" s="57">
        <v>5</v>
      </c>
      <c r="D290" s="57">
        <v>1</v>
      </c>
      <c r="E290" s="298" t="s">
        <v>314</v>
      </c>
      <c r="F290" s="234">
        <f>SUM(G290:H290)</f>
        <v>0</v>
      </c>
      <c r="G290" s="234"/>
      <c r="H290" s="234"/>
      <c r="I290" s="234">
        <f>SUM(J290:K290)</f>
        <v>0</v>
      </c>
      <c r="J290" s="234"/>
      <c r="K290" s="234"/>
      <c r="L290" s="234">
        <f>SUM(M290:N290)</f>
        <v>0</v>
      </c>
      <c r="M290" s="234"/>
      <c r="N290" s="234"/>
    </row>
    <row r="291" spans="1:14" ht="16.5" customHeight="1">
      <c r="A291" s="59">
        <v>3060</v>
      </c>
      <c r="B291" s="57" t="s">
        <v>307</v>
      </c>
      <c r="C291" s="57">
        <v>6</v>
      </c>
      <c r="D291" s="57">
        <v>0</v>
      </c>
      <c r="E291" s="298" t="s">
        <v>315</v>
      </c>
      <c r="F291" s="234">
        <f aca="true" t="shared" si="87" ref="F291:K291">SUM(F293)</f>
        <v>0</v>
      </c>
      <c r="G291" s="234">
        <f t="shared" si="87"/>
        <v>0</v>
      </c>
      <c r="H291" s="234">
        <f t="shared" si="87"/>
        <v>0</v>
      </c>
      <c r="I291" s="234">
        <f t="shared" si="87"/>
        <v>0</v>
      </c>
      <c r="J291" s="234">
        <f t="shared" si="87"/>
        <v>0</v>
      </c>
      <c r="K291" s="234">
        <f t="shared" si="87"/>
        <v>0</v>
      </c>
      <c r="L291" s="234">
        <f>SUM(L293)</f>
        <v>0</v>
      </c>
      <c r="M291" s="234">
        <f>SUM(M293)</f>
        <v>0</v>
      </c>
      <c r="N291" s="234">
        <f>SUM(N293)</f>
        <v>0</v>
      </c>
    </row>
    <row r="292" spans="1:14" s="58" customFormat="1" ht="10.5" customHeight="1">
      <c r="A292" s="59"/>
      <c r="B292" s="57"/>
      <c r="C292" s="57"/>
      <c r="D292" s="57"/>
      <c r="E292" s="298" t="s">
        <v>139</v>
      </c>
      <c r="F292" s="234"/>
      <c r="G292" s="234"/>
      <c r="H292" s="234"/>
      <c r="I292" s="234"/>
      <c r="J292" s="234"/>
      <c r="K292" s="234"/>
      <c r="L292" s="234"/>
      <c r="M292" s="234"/>
      <c r="N292" s="234"/>
    </row>
    <row r="293" spans="1:14" ht="15.75" customHeight="1">
      <c r="A293" s="59">
        <v>3061</v>
      </c>
      <c r="B293" s="57" t="s">
        <v>307</v>
      </c>
      <c r="C293" s="57">
        <v>6</v>
      </c>
      <c r="D293" s="57">
        <v>1</v>
      </c>
      <c r="E293" s="298" t="s">
        <v>315</v>
      </c>
      <c r="F293" s="234">
        <f>SUM(G293:H293)</f>
        <v>0</v>
      </c>
      <c r="G293" s="234"/>
      <c r="H293" s="234"/>
      <c r="I293" s="234">
        <f>SUM(J293:K293)</f>
        <v>0</v>
      </c>
      <c r="J293" s="234"/>
      <c r="K293" s="234"/>
      <c r="L293" s="234">
        <f>SUM(M293:N293)</f>
        <v>0</v>
      </c>
      <c r="M293" s="234"/>
      <c r="N293" s="234"/>
    </row>
    <row r="294" spans="1:14" ht="26.25" customHeight="1">
      <c r="A294" s="59">
        <v>3070</v>
      </c>
      <c r="B294" s="57" t="s">
        <v>307</v>
      </c>
      <c r="C294" s="57">
        <v>7</v>
      </c>
      <c r="D294" s="57">
        <v>0</v>
      </c>
      <c r="E294" s="298" t="s">
        <v>316</v>
      </c>
      <c r="F294" s="234">
        <f aca="true" t="shared" si="88" ref="F294:K294">SUM(F296)</f>
        <v>6880</v>
      </c>
      <c r="G294" s="234">
        <f t="shared" si="88"/>
        <v>6880</v>
      </c>
      <c r="H294" s="234">
        <f t="shared" si="88"/>
        <v>0</v>
      </c>
      <c r="I294" s="234">
        <f t="shared" si="88"/>
        <v>6880</v>
      </c>
      <c r="J294" s="234">
        <f t="shared" si="88"/>
        <v>6880</v>
      </c>
      <c r="K294" s="234">
        <f t="shared" si="88"/>
        <v>0</v>
      </c>
      <c r="L294" s="234">
        <f>SUM(L296)</f>
        <v>4139</v>
      </c>
      <c r="M294" s="234">
        <f>SUM(M296)</f>
        <v>4139</v>
      </c>
      <c r="N294" s="234">
        <f>SUM(N296)</f>
        <v>0</v>
      </c>
    </row>
    <row r="295" spans="1:14" s="58" customFormat="1" ht="10.5" customHeight="1">
      <c r="A295" s="59"/>
      <c r="B295" s="57"/>
      <c r="C295" s="57"/>
      <c r="D295" s="57"/>
      <c r="E295" s="298" t="s">
        <v>139</v>
      </c>
      <c r="F295" s="234"/>
      <c r="G295" s="234"/>
      <c r="H295" s="234"/>
      <c r="I295" s="234"/>
      <c r="J295" s="234"/>
      <c r="K295" s="234"/>
      <c r="L295" s="234"/>
      <c r="M295" s="234"/>
      <c r="N295" s="234"/>
    </row>
    <row r="296" spans="1:14" ht="14.25" customHeight="1">
      <c r="A296" s="59">
        <v>3071</v>
      </c>
      <c r="B296" s="57" t="s">
        <v>307</v>
      </c>
      <c r="C296" s="57">
        <v>7</v>
      </c>
      <c r="D296" s="57">
        <v>1</v>
      </c>
      <c r="E296" s="298" t="s">
        <v>316</v>
      </c>
      <c r="F296" s="234">
        <f>SUM(G296:H296)</f>
        <v>6880</v>
      </c>
      <c r="G296" s="234">
        <f>6880</f>
        <v>6880</v>
      </c>
      <c r="H296" s="234"/>
      <c r="I296" s="234">
        <f>SUM(J296:K296)</f>
        <v>6880</v>
      </c>
      <c r="J296" s="234">
        <f>6880</f>
        <v>6880</v>
      </c>
      <c r="K296" s="234"/>
      <c r="L296" s="234">
        <f>SUM(M296:N296)</f>
        <v>4139</v>
      </c>
      <c r="M296" s="234">
        <v>4139</v>
      </c>
      <c r="N296" s="234"/>
    </row>
    <row r="297" spans="1:14" ht="27" customHeight="1">
      <c r="A297" s="59">
        <v>3080</v>
      </c>
      <c r="B297" s="57" t="s">
        <v>307</v>
      </c>
      <c r="C297" s="57">
        <v>8</v>
      </c>
      <c r="D297" s="57">
        <v>0</v>
      </c>
      <c r="E297" s="298" t="s">
        <v>317</v>
      </c>
      <c r="F297" s="234">
        <f aca="true" t="shared" si="89" ref="F297:K297">SUM(F299)</f>
        <v>0</v>
      </c>
      <c r="G297" s="234">
        <f t="shared" si="89"/>
        <v>0</v>
      </c>
      <c r="H297" s="234">
        <f t="shared" si="89"/>
        <v>0</v>
      </c>
      <c r="I297" s="234">
        <f t="shared" si="89"/>
        <v>0</v>
      </c>
      <c r="J297" s="234">
        <f t="shared" si="89"/>
        <v>0</v>
      </c>
      <c r="K297" s="234">
        <f t="shared" si="89"/>
        <v>0</v>
      </c>
      <c r="L297" s="234">
        <f>SUM(L299)</f>
        <v>0</v>
      </c>
      <c r="M297" s="234">
        <f>SUM(M299)</f>
        <v>0</v>
      </c>
      <c r="N297" s="234">
        <f>SUM(N299)</f>
        <v>0</v>
      </c>
    </row>
    <row r="298" spans="1:14" s="58" customFormat="1" ht="10.5" customHeight="1">
      <c r="A298" s="59"/>
      <c r="B298" s="57"/>
      <c r="C298" s="57"/>
      <c r="D298" s="57"/>
      <c r="E298" s="298" t="s">
        <v>139</v>
      </c>
      <c r="F298" s="234"/>
      <c r="G298" s="234"/>
      <c r="H298" s="234"/>
      <c r="I298" s="234"/>
      <c r="J298" s="234"/>
      <c r="K298" s="234"/>
      <c r="L298" s="234"/>
      <c r="M298" s="234"/>
      <c r="N298" s="234"/>
    </row>
    <row r="299" spans="1:14" ht="30" customHeight="1">
      <c r="A299" s="59">
        <v>3081</v>
      </c>
      <c r="B299" s="57" t="s">
        <v>307</v>
      </c>
      <c r="C299" s="57">
        <v>8</v>
      </c>
      <c r="D299" s="57">
        <v>1</v>
      </c>
      <c r="E299" s="298" t="s">
        <v>317</v>
      </c>
      <c r="F299" s="234">
        <f>SUM(G299:H299)</f>
        <v>0</v>
      </c>
      <c r="G299" s="234"/>
      <c r="H299" s="234"/>
      <c r="I299" s="234">
        <f>SUM(J299:K299)</f>
        <v>0</v>
      </c>
      <c r="J299" s="234"/>
      <c r="K299" s="234"/>
      <c r="L299" s="234">
        <f>SUM(M299:N299)</f>
        <v>0</v>
      </c>
      <c r="M299" s="234"/>
      <c r="N299" s="234"/>
    </row>
    <row r="300" spans="1:14" s="58" customFormat="1" ht="10.5" customHeight="1">
      <c r="A300" s="59"/>
      <c r="B300" s="57"/>
      <c r="C300" s="57"/>
      <c r="D300" s="57"/>
      <c r="E300" s="298" t="s">
        <v>139</v>
      </c>
      <c r="F300" s="234"/>
      <c r="G300" s="234"/>
      <c r="H300" s="234"/>
      <c r="I300" s="234"/>
      <c r="J300" s="234"/>
      <c r="K300" s="234"/>
      <c r="L300" s="234"/>
      <c r="M300" s="234"/>
      <c r="N300" s="234"/>
    </row>
    <row r="301" spans="1:14" ht="13.5" customHeight="1">
      <c r="A301" s="59">
        <v>3090</v>
      </c>
      <c r="B301" s="57" t="s">
        <v>307</v>
      </c>
      <c r="C301" s="57">
        <v>9</v>
      </c>
      <c r="D301" s="57">
        <v>0</v>
      </c>
      <c r="E301" s="298" t="s">
        <v>318</v>
      </c>
      <c r="F301" s="234">
        <f aca="true" t="shared" si="90" ref="F301:K301">SUM(F303:F304)</f>
        <v>0</v>
      </c>
      <c r="G301" s="234">
        <f t="shared" si="90"/>
        <v>0</v>
      </c>
      <c r="H301" s="234">
        <f t="shared" si="90"/>
        <v>0</v>
      </c>
      <c r="I301" s="234">
        <f t="shared" si="90"/>
        <v>0</v>
      </c>
      <c r="J301" s="234">
        <f t="shared" si="90"/>
        <v>0</v>
      </c>
      <c r="K301" s="234">
        <f t="shared" si="90"/>
        <v>0</v>
      </c>
      <c r="L301" s="234">
        <f>SUM(L303:L304)</f>
        <v>0</v>
      </c>
      <c r="M301" s="234">
        <f>SUM(M303:M304)</f>
        <v>0</v>
      </c>
      <c r="N301" s="234">
        <f>SUM(N303:N304)</f>
        <v>0</v>
      </c>
    </row>
    <row r="302" spans="1:14" s="58" customFormat="1" ht="10.5" customHeight="1">
      <c r="A302" s="59"/>
      <c r="B302" s="57"/>
      <c r="C302" s="57"/>
      <c r="D302" s="57"/>
      <c r="E302" s="298" t="s">
        <v>139</v>
      </c>
      <c r="F302" s="234"/>
      <c r="G302" s="234"/>
      <c r="H302" s="234"/>
      <c r="I302" s="234"/>
      <c r="J302" s="234"/>
      <c r="K302" s="234"/>
      <c r="L302" s="234"/>
      <c r="M302" s="234"/>
      <c r="N302" s="234"/>
    </row>
    <row r="303" spans="1:14" ht="17.25" customHeight="1">
      <c r="A303" s="59">
        <v>3091</v>
      </c>
      <c r="B303" s="57" t="s">
        <v>307</v>
      </c>
      <c r="C303" s="57">
        <v>9</v>
      </c>
      <c r="D303" s="57">
        <v>1</v>
      </c>
      <c r="E303" s="298" t="s">
        <v>318</v>
      </c>
      <c r="F303" s="234">
        <f>SUM(G303:H303)</f>
        <v>0</v>
      </c>
      <c r="G303" s="234"/>
      <c r="H303" s="234"/>
      <c r="I303" s="234">
        <f>SUM(J303:K303)</f>
        <v>0</v>
      </c>
      <c r="J303" s="234"/>
      <c r="K303" s="234"/>
      <c r="L303" s="234">
        <f>SUM(M303:N303)</f>
        <v>0</v>
      </c>
      <c r="M303" s="234"/>
      <c r="N303" s="234"/>
    </row>
    <row r="304" spans="1:14" ht="27" customHeight="1">
      <c r="A304" s="59">
        <v>3092</v>
      </c>
      <c r="B304" s="57" t="s">
        <v>307</v>
      </c>
      <c r="C304" s="57">
        <v>9</v>
      </c>
      <c r="D304" s="57">
        <v>2</v>
      </c>
      <c r="E304" s="298" t="s">
        <v>319</v>
      </c>
      <c r="F304" s="234">
        <f>SUM(G304:H304)</f>
        <v>0</v>
      </c>
      <c r="G304" s="234"/>
      <c r="H304" s="234"/>
      <c r="I304" s="234">
        <f>SUM(J304:K304)</f>
        <v>0</v>
      </c>
      <c r="J304" s="234"/>
      <c r="K304" s="234"/>
      <c r="L304" s="234">
        <f>SUM(M304:N304)</f>
        <v>0</v>
      </c>
      <c r="M304" s="234"/>
      <c r="N304" s="234"/>
    </row>
    <row r="305" spans="1:14" s="55" customFormat="1" ht="32.25" customHeight="1">
      <c r="A305" s="60">
        <v>3100</v>
      </c>
      <c r="B305" s="57" t="s">
        <v>320</v>
      </c>
      <c r="C305" s="57">
        <v>0</v>
      </c>
      <c r="D305" s="57">
        <v>0</v>
      </c>
      <c r="E305" s="292" t="s">
        <v>387</v>
      </c>
      <c r="F305" s="234">
        <f aca="true" t="shared" si="91" ref="F305:K305">SUM(F307)</f>
        <v>30000</v>
      </c>
      <c r="G305" s="234">
        <f t="shared" si="91"/>
        <v>20000</v>
      </c>
      <c r="H305" s="234">
        <f t="shared" si="91"/>
        <v>10000</v>
      </c>
      <c r="I305" s="234">
        <f t="shared" si="91"/>
        <v>8205</v>
      </c>
      <c r="J305" s="234">
        <f t="shared" si="91"/>
        <v>1860</v>
      </c>
      <c r="K305" s="234">
        <f t="shared" si="91"/>
        <v>6345</v>
      </c>
      <c r="L305" s="234">
        <f>SUM(L307)</f>
        <v>0</v>
      </c>
      <c r="M305" s="234">
        <f>SUM(M307)</f>
        <v>0</v>
      </c>
      <c r="N305" s="234">
        <f>SUM(N307)</f>
        <v>0</v>
      </c>
    </row>
    <row r="306" spans="1:14" ht="11.25" customHeight="1">
      <c r="A306" s="60"/>
      <c r="B306" s="57"/>
      <c r="C306" s="57"/>
      <c r="D306" s="57"/>
      <c r="E306" s="298" t="s">
        <v>21</v>
      </c>
      <c r="F306" s="234"/>
      <c r="G306" s="234"/>
      <c r="H306" s="234"/>
      <c r="I306" s="234"/>
      <c r="J306" s="234"/>
      <c r="K306" s="234"/>
      <c r="L306" s="234"/>
      <c r="M306" s="234"/>
      <c r="N306" s="234"/>
    </row>
    <row r="307" spans="1:14" ht="15">
      <c r="A307" s="60">
        <v>3110</v>
      </c>
      <c r="B307" s="57" t="s">
        <v>320</v>
      </c>
      <c r="C307" s="57">
        <v>1</v>
      </c>
      <c r="D307" s="57">
        <v>0</v>
      </c>
      <c r="E307" s="292" t="s">
        <v>321</v>
      </c>
      <c r="F307" s="234">
        <f aca="true" t="shared" si="92" ref="F307:K307">SUM(F309)</f>
        <v>30000</v>
      </c>
      <c r="G307" s="234">
        <f t="shared" si="92"/>
        <v>20000</v>
      </c>
      <c r="H307" s="234">
        <f t="shared" si="92"/>
        <v>10000</v>
      </c>
      <c r="I307" s="234">
        <f t="shared" si="92"/>
        <v>8205</v>
      </c>
      <c r="J307" s="234">
        <f t="shared" si="92"/>
        <v>1860</v>
      </c>
      <c r="K307" s="234">
        <f t="shared" si="92"/>
        <v>6345</v>
      </c>
      <c r="L307" s="234">
        <f>SUM(L309)</f>
        <v>0</v>
      </c>
      <c r="M307" s="234">
        <f>SUM(M309)</f>
        <v>0</v>
      </c>
      <c r="N307" s="234">
        <f>SUM(N309)</f>
        <v>0</v>
      </c>
    </row>
    <row r="308" spans="1:14" s="58" customFormat="1" ht="10.5" customHeight="1">
      <c r="A308" s="60"/>
      <c r="B308" s="57"/>
      <c r="C308" s="57"/>
      <c r="D308" s="57"/>
      <c r="E308" s="298" t="s">
        <v>139</v>
      </c>
      <c r="F308" s="234"/>
      <c r="G308" s="234"/>
      <c r="H308" s="234"/>
      <c r="I308" s="234"/>
      <c r="J308" s="234"/>
      <c r="K308" s="234"/>
      <c r="L308" s="234"/>
      <c r="M308" s="234"/>
      <c r="N308" s="234"/>
    </row>
    <row r="309" spans="1:14" ht="15.75" thickBot="1">
      <c r="A309" s="61">
        <v>3112</v>
      </c>
      <c r="B309" s="57" t="s">
        <v>320</v>
      </c>
      <c r="C309" s="57">
        <v>1</v>
      </c>
      <c r="D309" s="57">
        <v>2</v>
      </c>
      <c r="E309" s="292" t="s">
        <v>322</v>
      </c>
      <c r="F309" s="234">
        <f>G309+H309</f>
        <v>30000</v>
      </c>
      <c r="G309" s="234">
        <f>20000</f>
        <v>20000</v>
      </c>
      <c r="H309" s="234">
        <f>10000</f>
        <v>10000</v>
      </c>
      <c r="I309" s="234">
        <f>J309+K309</f>
        <v>8205</v>
      </c>
      <c r="J309" s="234">
        <v>1860</v>
      </c>
      <c r="K309" s="234">
        <v>6345</v>
      </c>
      <c r="L309" s="234">
        <f>M309+N309</f>
        <v>0</v>
      </c>
      <c r="M309" s="234"/>
      <c r="N309" s="234"/>
    </row>
    <row r="310" spans="2:14" ht="15">
      <c r="B310" s="63"/>
      <c r="C310" s="64"/>
      <c r="D310" s="65"/>
      <c r="E310" s="239"/>
      <c r="F310" s="62"/>
      <c r="G310" s="62"/>
      <c r="H310" s="62"/>
      <c r="I310" s="62"/>
      <c r="J310" s="62"/>
      <c r="K310" s="62"/>
      <c r="L310" s="62"/>
      <c r="M310" s="62"/>
      <c r="N310" s="62"/>
    </row>
    <row r="311" spans="1:14" s="11" customFormat="1" ht="45" customHeight="1">
      <c r="A311" s="341" t="s">
        <v>323</v>
      </c>
      <c r="B311" s="342"/>
      <c r="C311" s="342"/>
      <c r="D311" s="342"/>
      <c r="E311" s="342"/>
      <c r="F311" s="342"/>
      <c r="G311" s="342"/>
      <c r="H311" s="342"/>
      <c r="I311" s="342"/>
      <c r="J311" s="342"/>
      <c r="K311" s="342"/>
      <c r="L311" s="342"/>
      <c r="M311" s="240"/>
      <c r="N311" s="240"/>
    </row>
    <row r="312" spans="1:14" s="11" customFormat="1" ht="12.75">
      <c r="A312" s="241" t="s">
        <v>388</v>
      </c>
      <c r="B312" s="242"/>
      <c r="C312" s="242"/>
      <c r="D312" s="242"/>
      <c r="E312" s="242"/>
      <c r="F312" s="242"/>
      <c r="G312" s="243"/>
      <c r="H312" s="244"/>
      <c r="I312" s="244"/>
      <c r="J312" s="244"/>
      <c r="K312" s="244"/>
      <c r="L312" s="244"/>
      <c r="M312" s="240"/>
      <c r="N312" s="240"/>
    </row>
    <row r="313" spans="2:14" ht="15">
      <c r="B313" s="68"/>
      <c r="C313" s="64"/>
      <c r="D313" s="65"/>
      <c r="E313" s="239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2:14" ht="15">
      <c r="B314" s="68"/>
      <c r="C314" s="64"/>
      <c r="D314" s="65"/>
      <c r="E314" s="62"/>
      <c r="F314" s="62"/>
      <c r="G314" s="62"/>
      <c r="H314" s="62"/>
      <c r="I314" s="62"/>
      <c r="J314" s="62"/>
      <c r="K314" s="62"/>
      <c r="L314" s="62"/>
      <c r="M314" s="62"/>
      <c r="N314" s="62"/>
    </row>
    <row r="315" spans="2:14" ht="15">
      <c r="B315" s="68"/>
      <c r="C315" s="69"/>
      <c r="D315" s="70"/>
      <c r="E315" s="239"/>
      <c r="F315" s="62"/>
      <c r="G315" s="62"/>
      <c r="H315" s="62"/>
      <c r="I315" s="62"/>
      <c r="J315" s="62"/>
      <c r="K315" s="62"/>
      <c r="L315" s="62"/>
      <c r="M315" s="62"/>
      <c r="N315" s="62"/>
    </row>
    <row r="316" spans="2:14" ht="15">
      <c r="B316" s="68"/>
      <c r="C316" s="69"/>
      <c r="D316" s="70"/>
      <c r="E316" s="239"/>
      <c r="F316" s="62"/>
      <c r="G316" s="62"/>
      <c r="H316" s="62"/>
      <c r="I316" s="62"/>
      <c r="J316" s="62"/>
      <c r="K316" s="62"/>
      <c r="L316" s="62"/>
      <c r="M316" s="62"/>
      <c r="N316" s="62"/>
    </row>
    <row r="317" spans="2:14" ht="15">
      <c r="B317" s="68"/>
      <c r="C317" s="69"/>
      <c r="D317" s="70"/>
      <c r="E317" s="239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2:14" ht="15">
      <c r="B318" s="68"/>
      <c r="C318" s="69"/>
      <c r="D318" s="70"/>
      <c r="E318" s="239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2:14" ht="15">
      <c r="B319" s="68"/>
      <c r="C319" s="69"/>
      <c r="D319" s="70"/>
      <c r="E319" s="239"/>
      <c r="F319" s="62"/>
      <c r="G319" s="62"/>
      <c r="H319" s="62"/>
      <c r="I319" s="62"/>
      <c r="J319" s="62"/>
      <c r="K319" s="62"/>
      <c r="L319" s="62"/>
      <c r="M319" s="62"/>
      <c r="N319" s="62"/>
    </row>
    <row r="320" spans="2:14" ht="15">
      <c r="B320" s="68"/>
      <c r="C320" s="69"/>
      <c r="D320" s="70"/>
      <c r="E320" s="239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2:14" ht="15">
      <c r="B321" s="68"/>
      <c r="C321" s="69"/>
      <c r="D321" s="70"/>
      <c r="E321" s="239"/>
      <c r="F321" s="62"/>
      <c r="G321" s="62"/>
      <c r="H321" s="62"/>
      <c r="I321" s="62"/>
      <c r="J321" s="62"/>
      <c r="K321" s="62"/>
      <c r="L321" s="62"/>
      <c r="M321" s="62"/>
      <c r="N321" s="62"/>
    </row>
    <row r="322" spans="2:14" ht="15">
      <c r="B322" s="68"/>
      <c r="C322" s="69"/>
      <c r="D322" s="70"/>
      <c r="E322" s="239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2:14" ht="15">
      <c r="B323" s="68"/>
      <c r="C323" s="69"/>
      <c r="D323" s="70"/>
      <c r="E323" s="239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2:14" ht="15">
      <c r="B324" s="68"/>
      <c r="C324" s="69"/>
      <c r="D324" s="70"/>
      <c r="E324" s="239"/>
      <c r="F324" s="62"/>
      <c r="G324" s="62"/>
      <c r="H324" s="62"/>
      <c r="I324" s="62"/>
      <c r="J324" s="62"/>
      <c r="K324" s="62"/>
      <c r="L324" s="62"/>
      <c r="M324" s="62"/>
      <c r="N324" s="62"/>
    </row>
    <row r="325" spans="2:14" ht="15">
      <c r="B325" s="68"/>
      <c r="C325" s="69"/>
      <c r="D325" s="70"/>
      <c r="E325" s="239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2:14" ht="15">
      <c r="B326" s="68"/>
      <c r="C326" s="69"/>
      <c r="D326" s="70"/>
      <c r="E326" s="239"/>
      <c r="F326" s="62"/>
      <c r="G326" s="62"/>
      <c r="H326" s="62"/>
      <c r="I326" s="62"/>
      <c r="J326" s="62"/>
      <c r="K326" s="62"/>
      <c r="L326" s="62"/>
      <c r="M326" s="62"/>
      <c r="N326" s="62"/>
    </row>
    <row r="327" spans="2:14" ht="15">
      <c r="B327" s="68"/>
      <c r="C327" s="69"/>
      <c r="D327" s="70"/>
      <c r="E327" s="239"/>
      <c r="F327" s="62"/>
      <c r="G327" s="62"/>
      <c r="H327" s="62"/>
      <c r="I327" s="62"/>
      <c r="J327" s="62"/>
      <c r="K327" s="62"/>
      <c r="L327" s="62"/>
      <c r="M327" s="62"/>
      <c r="N327" s="62"/>
    </row>
    <row r="328" spans="2:14" ht="15">
      <c r="B328" s="68"/>
      <c r="C328" s="69"/>
      <c r="D328" s="70"/>
      <c r="E328" s="239"/>
      <c r="F328" s="62"/>
      <c r="G328" s="62"/>
      <c r="H328" s="62"/>
      <c r="I328" s="62"/>
      <c r="J328" s="62"/>
      <c r="K328" s="62"/>
      <c r="L328" s="62"/>
      <c r="M328" s="62"/>
      <c r="N328" s="62"/>
    </row>
    <row r="329" spans="2:14" ht="15">
      <c r="B329" s="68"/>
      <c r="C329" s="69"/>
      <c r="D329" s="70"/>
      <c r="E329" s="239"/>
      <c r="F329" s="62"/>
      <c r="G329" s="62"/>
      <c r="H329" s="62"/>
      <c r="I329" s="62"/>
      <c r="J329" s="62"/>
      <c r="K329" s="62"/>
      <c r="L329" s="62"/>
      <c r="M329" s="62"/>
      <c r="N329" s="62"/>
    </row>
    <row r="330" spans="2:14" ht="15">
      <c r="B330" s="68"/>
      <c r="C330" s="69"/>
      <c r="D330" s="70"/>
      <c r="E330" s="239"/>
      <c r="F330" s="62"/>
      <c r="G330" s="62"/>
      <c r="H330" s="62"/>
      <c r="I330" s="62"/>
      <c r="J330" s="62"/>
      <c r="K330" s="62"/>
      <c r="L330" s="62"/>
      <c r="M330" s="62"/>
      <c r="N330" s="62"/>
    </row>
    <row r="331" spans="2:14" ht="15">
      <c r="B331" s="68"/>
      <c r="C331" s="69"/>
      <c r="D331" s="70"/>
      <c r="E331" s="239"/>
      <c r="F331" s="62"/>
      <c r="G331" s="62"/>
      <c r="H331" s="62"/>
      <c r="I331" s="62"/>
      <c r="J331" s="62"/>
      <c r="K331" s="62"/>
      <c r="L331" s="62"/>
      <c r="M331" s="62"/>
      <c r="N331" s="62"/>
    </row>
    <row r="332" spans="2:14" ht="15">
      <c r="B332" s="68"/>
      <c r="C332" s="69"/>
      <c r="D332" s="70"/>
      <c r="E332" s="239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2:14" ht="15">
      <c r="B333" s="68"/>
      <c r="C333" s="69"/>
      <c r="D333" s="70"/>
      <c r="E333" s="239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2:14" ht="15">
      <c r="B334" s="68"/>
      <c r="C334" s="69"/>
      <c r="D334" s="70"/>
      <c r="E334" s="239"/>
      <c r="F334" s="62"/>
      <c r="G334" s="62"/>
      <c r="H334" s="62"/>
      <c r="I334" s="62"/>
      <c r="J334" s="62"/>
      <c r="K334" s="62"/>
      <c r="L334" s="62"/>
      <c r="M334" s="62"/>
      <c r="N334" s="62"/>
    </row>
    <row r="335" spans="2:14" ht="15">
      <c r="B335" s="68"/>
      <c r="C335" s="69"/>
      <c r="D335" s="70"/>
      <c r="E335" s="239"/>
      <c r="F335" s="62"/>
      <c r="G335" s="62"/>
      <c r="H335" s="62"/>
      <c r="I335" s="62"/>
      <c r="J335" s="62"/>
      <c r="K335" s="62"/>
      <c r="L335" s="62"/>
      <c r="M335" s="62"/>
      <c r="N335" s="62"/>
    </row>
    <row r="336" spans="2:14" ht="15">
      <c r="B336" s="68"/>
      <c r="C336" s="69"/>
      <c r="D336" s="70"/>
      <c r="E336" s="239"/>
      <c r="F336" s="62"/>
      <c r="G336" s="62"/>
      <c r="H336" s="62"/>
      <c r="I336" s="62"/>
      <c r="J336" s="62"/>
      <c r="K336" s="62"/>
      <c r="L336" s="62"/>
      <c r="M336" s="62"/>
      <c r="N336" s="62"/>
    </row>
    <row r="337" spans="2:14" ht="15">
      <c r="B337" s="68"/>
      <c r="C337" s="69"/>
      <c r="D337" s="70"/>
      <c r="E337" s="239"/>
      <c r="F337" s="62"/>
      <c r="G337" s="62"/>
      <c r="H337" s="62"/>
      <c r="I337" s="62"/>
      <c r="J337" s="62"/>
      <c r="K337" s="62"/>
      <c r="L337" s="62"/>
      <c r="M337" s="62"/>
      <c r="N337" s="62"/>
    </row>
    <row r="338" spans="2:14" ht="15">
      <c r="B338" s="68"/>
      <c r="C338" s="69"/>
      <c r="D338" s="70"/>
      <c r="E338" s="239"/>
      <c r="F338" s="62"/>
      <c r="G338" s="62"/>
      <c r="H338" s="62"/>
      <c r="I338" s="62"/>
      <c r="J338" s="62"/>
      <c r="K338" s="62"/>
      <c r="L338" s="62"/>
      <c r="M338" s="62"/>
      <c r="N338" s="62"/>
    </row>
    <row r="339" spans="2:14" ht="15">
      <c r="B339" s="68"/>
      <c r="C339" s="69"/>
      <c r="D339" s="70"/>
      <c r="E339" s="239"/>
      <c r="F339" s="62"/>
      <c r="G339" s="62"/>
      <c r="H339" s="62"/>
      <c r="I339" s="62"/>
      <c r="J339" s="62"/>
      <c r="K339" s="62"/>
      <c r="L339" s="62"/>
      <c r="M339" s="62"/>
      <c r="N339" s="62"/>
    </row>
    <row r="340" spans="2:14" ht="15">
      <c r="B340" s="68"/>
      <c r="C340" s="69"/>
      <c r="D340" s="70"/>
      <c r="E340" s="239"/>
      <c r="F340" s="62"/>
      <c r="G340" s="62"/>
      <c r="H340" s="62"/>
      <c r="I340" s="62"/>
      <c r="J340" s="62"/>
      <c r="K340" s="62"/>
      <c r="L340" s="62"/>
      <c r="M340" s="62"/>
      <c r="N340" s="62"/>
    </row>
    <row r="341" spans="2:14" ht="15">
      <c r="B341" s="68"/>
      <c r="C341" s="69"/>
      <c r="D341" s="70"/>
      <c r="E341" s="239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2:14" ht="15">
      <c r="B342" s="68"/>
      <c r="C342" s="69"/>
      <c r="D342" s="70"/>
      <c r="E342" s="239"/>
      <c r="F342" s="62"/>
      <c r="G342" s="62"/>
      <c r="H342" s="62"/>
      <c r="I342" s="62"/>
      <c r="J342" s="62"/>
      <c r="K342" s="62"/>
      <c r="L342" s="62"/>
      <c r="M342" s="62"/>
      <c r="N342" s="62"/>
    </row>
    <row r="343" spans="2:14" ht="15">
      <c r="B343" s="68"/>
      <c r="C343" s="69"/>
      <c r="D343" s="70"/>
      <c r="E343" s="239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2:14" ht="15">
      <c r="B344" s="68"/>
      <c r="C344" s="69"/>
      <c r="D344" s="70"/>
      <c r="E344" s="239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2:14" ht="15">
      <c r="B345" s="68"/>
      <c r="C345" s="69"/>
      <c r="D345" s="70"/>
      <c r="E345" s="239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2:14" ht="15">
      <c r="B346" s="68"/>
      <c r="C346" s="69"/>
      <c r="D346" s="70"/>
      <c r="E346" s="239"/>
      <c r="F346" s="62"/>
      <c r="G346" s="62"/>
      <c r="H346" s="62"/>
      <c r="I346" s="62"/>
      <c r="J346" s="62"/>
      <c r="K346" s="62"/>
      <c r="L346" s="62"/>
      <c r="M346" s="62"/>
      <c r="N346" s="62"/>
    </row>
    <row r="347" spans="2:14" ht="15">
      <c r="B347" s="68"/>
      <c r="C347" s="69"/>
      <c r="D347" s="70"/>
      <c r="E347" s="239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2:14" ht="15">
      <c r="B348" s="68"/>
      <c r="C348" s="69"/>
      <c r="D348" s="70"/>
      <c r="E348" s="239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2:14" ht="15">
      <c r="B349" s="68"/>
      <c r="C349" s="69"/>
      <c r="D349" s="70"/>
      <c r="E349" s="239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2:14" ht="15">
      <c r="B350" s="68"/>
      <c r="C350" s="69"/>
      <c r="D350" s="70"/>
      <c r="E350" s="239"/>
      <c r="F350" s="62"/>
      <c r="G350" s="62"/>
      <c r="H350" s="62"/>
      <c r="I350" s="62"/>
      <c r="J350" s="62"/>
      <c r="K350" s="62"/>
      <c r="L350" s="62"/>
      <c r="M350" s="62"/>
      <c r="N350" s="62"/>
    </row>
    <row r="351" spans="2:14" ht="15">
      <c r="B351" s="68"/>
      <c r="C351" s="69"/>
      <c r="D351" s="70"/>
      <c r="E351" s="239"/>
      <c r="F351" s="62"/>
      <c r="G351" s="62"/>
      <c r="H351" s="62"/>
      <c r="I351" s="62"/>
      <c r="J351" s="62"/>
      <c r="K351" s="62"/>
      <c r="L351" s="62"/>
      <c r="M351" s="62"/>
      <c r="N351" s="62"/>
    </row>
    <row r="352" spans="2:14" ht="15">
      <c r="B352" s="68"/>
      <c r="C352" s="69"/>
      <c r="D352" s="70"/>
      <c r="E352" s="239"/>
      <c r="F352" s="62"/>
      <c r="G352" s="62"/>
      <c r="H352" s="62"/>
      <c r="I352" s="62"/>
      <c r="J352" s="62"/>
      <c r="K352" s="62"/>
      <c r="L352" s="62"/>
      <c r="M352" s="62"/>
      <c r="N352" s="62"/>
    </row>
    <row r="353" spans="2:14" ht="15">
      <c r="B353" s="68"/>
      <c r="C353" s="69"/>
      <c r="D353" s="70"/>
      <c r="E353" s="239"/>
      <c r="F353" s="62"/>
      <c r="G353" s="62"/>
      <c r="H353" s="62"/>
      <c r="I353" s="62"/>
      <c r="J353" s="62"/>
      <c r="K353" s="62"/>
      <c r="L353" s="62"/>
      <c r="M353" s="62"/>
      <c r="N353" s="62"/>
    </row>
    <row r="354" spans="2:14" ht="15">
      <c r="B354" s="68"/>
      <c r="C354" s="69"/>
      <c r="D354" s="70"/>
      <c r="E354" s="239"/>
      <c r="F354" s="62"/>
      <c r="G354" s="62"/>
      <c r="H354" s="62"/>
      <c r="I354" s="62"/>
      <c r="J354" s="62"/>
      <c r="K354" s="62"/>
      <c r="L354" s="62"/>
      <c r="M354" s="62"/>
      <c r="N354" s="62"/>
    </row>
    <row r="355" spans="2:14" ht="15">
      <c r="B355" s="68"/>
      <c r="C355" s="69"/>
      <c r="D355" s="70"/>
      <c r="E355" s="239"/>
      <c r="F355" s="62"/>
      <c r="G355" s="62"/>
      <c r="H355" s="62"/>
      <c r="I355" s="62"/>
      <c r="J355" s="62"/>
      <c r="K355" s="62"/>
      <c r="L355" s="62"/>
      <c r="M355" s="62"/>
      <c r="N355" s="62"/>
    </row>
    <row r="356" spans="2:14" ht="15">
      <c r="B356" s="68"/>
      <c r="C356" s="69"/>
      <c r="D356" s="70"/>
      <c r="E356" s="239"/>
      <c r="F356" s="62"/>
      <c r="G356" s="62"/>
      <c r="H356" s="62"/>
      <c r="I356" s="62"/>
      <c r="J356" s="62"/>
      <c r="K356" s="62"/>
      <c r="L356" s="62"/>
      <c r="M356" s="62"/>
      <c r="N356" s="62"/>
    </row>
    <row r="357" spans="2:14" ht="15">
      <c r="B357" s="68"/>
      <c r="C357" s="69"/>
      <c r="D357" s="70"/>
      <c r="E357" s="239"/>
      <c r="F357" s="62"/>
      <c r="G357" s="62"/>
      <c r="H357" s="62"/>
      <c r="I357" s="62"/>
      <c r="J357" s="62"/>
      <c r="K357" s="62"/>
      <c r="L357" s="62"/>
      <c r="M357" s="62"/>
      <c r="N357" s="62"/>
    </row>
    <row r="358" spans="2:14" ht="15">
      <c r="B358" s="68"/>
      <c r="C358" s="69"/>
      <c r="D358" s="70"/>
      <c r="E358" s="239"/>
      <c r="F358" s="62"/>
      <c r="G358" s="62"/>
      <c r="H358" s="62"/>
      <c r="I358" s="62"/>
      <c r="J358" s="62"/>
      <c r="K358" s="62"/>
      <c r="L358" s="62"/>
      <c r="M358" s="62"/>
      <c r="N358" s="62"/>
    </row>
    <row r="359" spans="2:14" ht="15">
      <c r="B359" s="68"/>
      <c r="C359" s="69"/>
      <c r="D359" s="70"/>
      <c r="E359" s="239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2:14" ht="15">
      <c r="B360" s="68"/>
      <c r="C360" s="69"/>
      <c r="D360" s="70"/>
      <c r="E360" s="239"/>
      <c r="F360" s="62"/>
      <c r="G360" s="62"/>
      <c r="H360" s="62"/>
      <c r="I360" s="62"/>
      <c r="J360" s="62"/>
      <c r="K360" s="62"/>
      <c r="L360" s="62"/>
      <c r="M360" s="62"/>
      <c r="N360" s="62"/>
    </row>
    <row r="361" spans="2:14" ht="15">
      <c r="B361" s="68"/>
      <c r="C361" s="69"/>
      <c r="D361" s="70"/>
      <c r="E361" s="239"/>
      <c r="F361" s="62"/>
      <c r="G361" s="62"/>
      <c r="H361" s="62"/>
      <c r="I361" s="62"/>
      <c r="J361" s="62"/>
      <c r="K361" s="62"/>
      <c r="L361" s="62"/>
      <c r="M361" s="62"/>
      <c r="N361" s="62"/>
    </row>
    <row r="362" spans="2:14" ht="15">
      <c r="B362" s="68"/>
      <c r="C362" s="69"/>
      <c r="D362" s="70"/>
      <c r="E362" s="239"/>
      <c r="F362" s="62"/>
      <c r="G362" s="62"/>
      <c r="H362" s="62"/>
      <c r="I362" s="62"/>
      <c r="J362" s="62"/>
      <c r="K362" s="62"/>
      <c r="L362" s="62"/>
      <c r="M362" s="62"/>
      <c r="N362" s="62"/>
    </row>
    <row r="363" spans="2:14" ht="15">
      <c r="B363" s="68"/>
      <c r="C363" s="69"/>
      <c r="D363" s="70"/>
      <c r="E363" s="239"/>
      <c r="F363" s="62"/>
      <c r="G363" s="62"/>
      <c r="H363" s="62"/>
      <c r="I363" s="62"/>
      <c r="J363" s="62"/>
      <c r="K363" s="62"/>
      <c r="L363" s="62"/>
      <c r="M363" s="62"/>
      <c r="N363" s="62"/>
    </row>
    <row r="364" spans="2:14" ht="15">
      <c r="B364" s="68"/>
      <c r="C364" s="69"/>
      <c r="D364" s="70"/>
      <c r="E364" s="239"/>
      <c r="F364" s="62"/>
      <c r="G364" s="62"/>
      <c r="H364" s="62"/>
      <c r="I364" s="62"/>
      <c r="J364" s="62"/>
      <c r="K364" s="62"/>
      <c r="L364" s="62"/>
      <c r="M364" s="62"/>
      <c r="N364" s="62"/>
    </row>
    <row r="365" spans="2:14" ht="15">
      <c r="B365" s="68"/>
      <c r="C365" s="69"/>
      <c r="D365" s="70"/>
      <c r="E365" s="239"/>
      <c r="F365" s="62"/>
      <c r="G365" s="62"/>
      <c r="H365" s="62"/>
      <c r="I365" s="62"/>
      <c r="J365" s="62"/>
      <c r="K365" s="62"/>
      <c r="L365" s="62"/>
      <c r="M365" s="62"/>
      <c r="N365" s="62"/>
    </row>
    <row r="366" spans="2:14" ht="15">
      <c r="B366" s="68"/>
      <c r="C366" s="69"/>
      <c r="D366" s="70"/>
      <c r="E366" s="239"/>
      <c r="F366" s="62"/>
      <c r="G366" s="62"/>
      <c r="H366" s="62"/>
      <c r="I366" s="62"/>
      <c r="J366" s="62"/>
      <c r="K366" s="62"/>
      <c r="L366" s="62"/>
      <c r="M366" s="62"/>
      <c r="N366" s="62"/>
    </row>
    <row r="367" spans="2:14" ht="15">
      <c r="B367" s="68"/>
      <c r="C367" s="69"/>
      <c r="D367" s="70"/>
      <c r="E367" s="239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2:14" ht="15">
      <c r="B368" s="68"/>
      <c r="C368" s="69"/>
      <c r="D368" s="70"/>
      <c r="E368" s="239"/>
      <c r="F368" s="62"/>
      <c r="G368" s="62"/>
      <c r="H368" s="62"/>
      <c r="I368" s="62"/>
      <c r="J368" s="62"/>
      <c r="K368" s="62"/>
      <c r="L368" s="62"/>
      <c r="M368" s="62"/>
      <c r="N368" s="62"/>
    </row>
    <row r="369" spans="2:14" ht="15">
      <c r="B369" s="68"/>
      <c r="C369" s="69"/>
      <c r="D369" s="70"/>
      <c r="E369" s="239"/>
      <c r="F369" s="62"/>
      <c r="G369" s="62"/>
      <c r="H369" s="62"/>
      <c r="I369" s="62"/>
      <c r="J369" s="62"/>
      <c r="K369" s="62"/>
      <c r="L369" s="62"/>
      <c r="M369" s="62"/>
      <c r="N369" s="62"/>
    </row>
    <row r="370" spans="2:14" ht="15">
      <c r="B370" s="68"/>
      <c r="C370" s="69"/>
      <c r="D370" s="70"/>
      <c r="E370" s="239"/>
      <c r="F370" s="62"/>
      <c r="G370" s="62"/>
      <c r="H370" s="62"/>
      <c r="I370" s="62"/>
      <c r="J370" s="62"/>
      <c r="K370" s="62"/>
      <c r="L370" s="62"/>
      <c r="M370" s="62"/>
      <c r="N370" s="62"/>
    </row>
    <row r="371" spans="2:14" ht="15">
      <c r="B371" s="68"/>
      <c r="C371" s="69"/>
      <c r="D371" s="70"/>
      <c r="E371" s="239"/>
      <c r="F371" s="62"/>
      <c r="G371" s="62"/>
      <c r="H371" s="62"/>
      <c r="I371" s="62"/>
      <c r="J371" s="62"/>
      <c r="K371" s="62"/>
      <c r="L371" s="62"/>
      <c r="M371" s="62"/>
      <c r="N371" s="62"/>
    </row>
    <row r="372" spans="2:14" ht="15">
      <c r="B372" s="68"/>
      <c r="C372" s="69"/>
      <c r="D372" s="70"/>
      <c r="E372" s="239"/>
      <c r="F372" s="62"/>
      <c r="G372" s="62"/>
      <c r="H372" s="62"/>
      <c r="I372" s="62"/>
      <c r="J372" s="62"/>
      <c r="K372" s="62"/>
      <c r="L372" s="62"/>
      <c r="M372" s="62"/>
      <c r="N372" s="62"/>
    </row>
    <row r="373" spans="2:14" ht="15">
      <c r="B373" s="68"/>
      <c r="C373" s="69"/>
      <c r="D373" s="70"/>
      <c r="E373" s="239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2:14" ht="15">
      <c r="B374" s="68"/>
      <c r="C374" s="69"/>
      <c r="D374" s="70"/>
      <c r="E374" s="239"/>
      <c r="F374" s="62"/>
      <c r="G374" s="62"/>
      <c r="H374" s="62"/>
      <c r="I374" s="62"/>
      <c r="J374" s="62"/>
      <c r="K374" s="62"/>
      <c r="L374" s="62"/>
      <c r="M374" s="62"/>
      <c r="N374" s="62"/>
    </row>
    <row r="375" spans="2:14" ht="15">
      <c r="B375" s="68"/>
      <c r="C375" s="69"/>
      <c r="D375" s="70"/>
      <c r="E375" s="239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2:14" ht="15">
      <c r="B376" s="68"/>
      <c r="C376" s="69"/>
      <c r="D376" s="70"/>
      <c r="E376" s="239"/>
      <c r="F376" s="62"/>
      <c r="G376" s="62"/>
      <c r="H376" s="62"/>
      <c r="I376" s="62"/>
      <c r="J376" s="62"/>
      <c r="K376" s="62"/>
      <c r="L376" s="62"/>
      <c r="M376" s="62"/>
      <c r="N376" s="62"/>
    </row>
    <row r="377" spans="2:14" ht="15">
      <c r="B377" s="68"/>
      <c r="C377" s="69"/>
      <c r="D377" s="70"/>
      <c r="E377" s="239"/>
      <c r="F377" s="62"/>
      <c r="G377" s="62"/>
      <c r="H377" s="62"/>
      <c r="I377" s="62"/>
      <c r="J377" s="62"/>
      <c r="K377" s="62"/>
      <c r="L377" s="62"/>
      <c r="M377" s="62"/>
      <c r="N377" s="62"/>
    </row>
    <row r="378" spans="2:14" ht="15">
      <c r="B378" s="68"/>
      <c r="C378" s="69"/>
      <c r="D378" s="70"/>
      <c r="E378" s="239"/>
      <c r="F378" s="62"/>
      <c r="G378" s="62"/>
      <c r="H378" s="62"/>
      <c r="I378" s="62"/>
      <c r="J378" s="62"/>
      <c r="K378" s="62"/>
      <c r="L378" s="62"/>
      <c r="M378" s="62"/>
      <c r="N378" s="62"/>
    </row>
    <row r="379" spans="2:14" ht="15">
      <c r="B379" s="68"/>
      <c r="C379" s="69"/>
      <c r="D379" s="70"/>
      <c r="E379" s="239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2:14" ht="15">
      <c r="B380" s="68"/>
      <c r="C380" s="69"/>
      <c r="D380" s="70"/>
      <c r="E380" s="239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2:14" ht="15">
      <c r="B381" s="68"/>
      <c r="C381" s="69"/>
      <c r="D381" s="70"/>
      <c r="E381" s="239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2:14" ht="15">
      <c r="B382" s="68"/>
      <c r="C382" s="69"/>
      <c r="D382" s="70"/>
      <c r="E382" s="239"/>
      <c r="F382" s="62"/>
      <c r="G382" s="62"/>
      <c r="H382" s="62"/>
      <c r="I382" s="62"/>
      <c r="J382" s="62"/>
      <c r="K382" s="62"/>
      <c r="L382" s="62"/>
      <c r="M382" s="62"/>
      <c r="N382" s="62"/>
    </row>
    <row r="383" spans="2:14" ht="15">
      <c r="B383" s="68"/>
      <c r="C383" s="69"/>
      <c r="D383" s="70"/>
      <c r="E383" s="239"/>
      <c r="F383" s="62"/>
      <c r="G383" s="62"/>
      <c r="H383" s="62"/>
      <c r="I383" s="62"/>
      <c r="J383" s="62"/>
      <c r="K383" s="62"/>
      <c r="L383" s="62"/>
      <c r="M383" s="62"/>
      <c r="N383" s="62"/>
    </row>
    <row r="384" spans="2:14" ht="15">
      <c r="B384" s="68"/>
      <c r="C384" s="69"/>
      <c r="D384" s="70"/>
      <c r="E384" s="239"/>
      <c r="F384" s="62"/>
      <c r="G384" s="62"/>
      <c r="H384" s="62"/>
      <c r="I384" s="62"/>
      <c r="J384" s="62"/>
      <c r="K384" s="62"/>
      <c r="L384" s="62"/>
      <c r="M384" s="62"/>
      <c r="N384" s="62"/>
    </row>
    <row r="385" spans="2:14" ht="15">
      <c r="B385" s="68"/>
      <c r="C385" s="69"/>
      <c r="D385" s="70"/>
      <c r="E385" s="239"/>
      <c r="F385" s="62"/>
      <c r="G385" s="62"/>
      <c r="H385" s="62"/>
      <c r="I385" s="62"/>
      <c r="J385" s="62"/>
      <c r="K385" s="62"/>
      <c r="L385" s="62"/>
      <c r="M385" s="62"/>
      <c r="N385" s="62"/>
    </row>
    <row r="386" spans="2:14" ht="15">
      <c r="B386" s="68"/>
      <c r="C386" s="69"/>
      <c r="D386" s="70"/>
      <c r="E386" s="239"/>
      <c r="F386" s="62"/>
      <c r="G386" s="62"/>
      <c r="H386" s="62"/>
      <c r="I386" s="62"/>
      <c r="J386" s="62"/>
      <c r="K386" s="62"/>
      <c r="L386" s="62"/>
      <c r="M386" s="62"/>
      <c r="N386" s="62"/>
    </row>
    <row r="387" spans="2:14" ht="15">
      <c r="B387" s="68"/>
      <c r="C387" s="69"/>
      <c r="D387" s="70"/>
      <c r="E387" s="239"/>
      <c r="F387" s="62"/>
      <c r="G387" s="62"/>
      <c r="H387" s="62"/>
      <c r="I387" s="62"/>
      <c r="J387" s="62"/>
      <c r="K387" s="62"/>
      <c r="L387" s="62"/>
      <c r="M387" s="62"/>
      <c r="N387" s="62"/>
    </row>
    <row r="388" spans="2:14" ht="15">
      <c r="B388" s="68"/>
      <c r="C388" s="69"/>
      <c r="D388" s="70"/>
      <c r="E388" s="239"/>
      <c r="F388" s="62"/>
      <c r="G388" s="62"/>
      <c r="H388" s="62"/>
      <c r="I388" s="62"/>
      <c r="J388" s="62"/>
      <c r="K388" s="62"/>
      <c r="L388" s="62"/>
      <c r="M388" s="62"/>
      <c r="N388" s="62"/>
    </row>
    <row r="389" spans="2:14" ht="15">
      <c r="B389" s="68"/>
      <c r="C389" s="69"/>
      <c r="D389" s="70"/>
      <c r="E389" s="239"/>
      <c r="F389" s="62"/>
      <c r="G389" s="62"/>
      <c r="H389" s="62"/>
      <c r="I389" s="62"/>
      <c r="J389" s="62"/>
      <c r="K389" s="62"/>
      <c r="L389" s="62"/>
      <c r="M389" s="62"/>
      <c r="N389" s="62"/>
    </row>
    <row r="390" spans="2:14" ht="15">
      <c r="B390" s="68"/>
      <c r="C390" s="69"/>
      <c r="D390" s="70"/>
      <c r="E390" s="239"/>
      <c r="F390" s="62"/>
      <c r="G390" s="62"/>
      <c r="H390" s="62"/>
      <c r="I390" s="62"/>
      <c r="J390" s="62"/>
      <c r="K390" s="62"/>
      <c r="L390" s="62"/>
      <c r="M390" s="62"/>
      <c r="N390" s="62"/>
    </row>
    <row r="391" spans="2:14" ht="15">
      <c r="B391" s="68"/>
      <c r="C391" s="69"/>
      <c r="D391" s="70"/>
      <c r="E391" s="239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2:14" ht="15">
      <c r="B392" s="68"/>
      <c r="C392" s="69"/>
      <c r="D392" s="70"/>
      <c r="E392" s="239"/>
      <c r="F392" s="62"/>
      <c r="G392" s="62"/>
      <c r="H392" s="62"/>
      <c r="I392" s="62"/>
      <c r="J392" s="62"/>
      <c r="K392" s="62"/>
      <c r="L392" s="62"/>
      <c r="M392" s="62"/>
      <c r="N392" s="62"/>
    </row>
    <row r="393" spans="2:14" ht="15">
      <c r="B393" s="68"/>
      <c r="C393" s="69"/>
      <c r="D393" s="70"/>
      <c r="E393" s="239"/>
      <c r="F393" s="62"/>
      <c r="G393" s="62"/>
      <c r="H393" s="62"/>
      <c r="I393" s="62"/>
      <c r="J393" s="62"/>
      <c r="K393" s="62"/>
      <c r="L393" s="62"/>
      <c r="M393" s="62"/>
      <c r="N393" s="62"/>
    </row>
    <row r="394" spans="2:14" ht="15">
      <c r="B394" s="68"/>
      <c r="C394" s="69"/>
      <c r="D394" s="70"/>
      <c r="E394" s="239"/>
      <c r="F394" s="62"/>
      <c r="G394" s="62"/>
      <c r="H394" s="62"/>
      <c r="I394" s="62"/>
      <c r="J394" s="62"/>
      <c r="K394" s="62"/>
      <c r="L394" s="62"/>
      <c r="M394" s="62"/>
      <c r="N394" s="62"/>
    </row>
    <row r="395" spans="2:14" ht="15">
      <c r="B395" s="68"/>
      <c r="C395" s="69"/>
      <c r="D395" s="70"/>
      <c r="E395" s="239"/>
      <c r="F395" s="62"/>
      <c r="G395" s="62"/>
      <c r="H395" s="62"/>
      <c r="I395" s="62"/>
      <c r="J395" s="62"/>
      <c r="K395" s="62"/>
      <c r="L395" s="62"/>
      <c r="M395" s="62"/>
      <c r="N395" s="62"/>
    </row>
    <row r="396" spans="2:14" ht="15">
      <c r="B396" s="68"/>
      <c r="C396" s="69"/>
      <c r="D396" s="70"/>
      <c r="E396" s="239"/>
      <c r="F396" s="62"/>
      <c r="G396" s="62"/>
      <c r="H396" s="62"/>
      <c r="I396" s="62"/>
      <c r="J396" s="62"/>
      <c r="K396" s="62"/>
      <c r="L396" s="62"/>
      <c r="M396" s="62"/>
      <c r="N396" s="62"/>
    </row>
    <row r="397" spans="2:14" ht="15">
      <c r="B397" s="68"/>
      <c r="C397" s="69"/>
      <c r="D397" s="70"/>
      <c r="E397" s="239"/>
      <c r="F397" s="62"/>
      <c r="G397" s="62"/>
      <c r="H397" s="62"/>
      <c r="I397" s="62"/>
      <c r="J397" s="62"/>
      <c r="K397" s="62"/>
      <c r="L397" s="62"/>
      <c r="M397" s="62"/>
      <c r="N397" s="62"/>
    </row>
  </sheetData>
  <sheetProtection/>
  <protectedRanges>
    <protectedRange sqref="G308:H309 G303:H304 M308:N309 M303:N304 J308:K309 J303:K304 F302:N302 F306:N306" name="Range24"/>
    <protectedRange sqref="G284:H284 G287:H287 G289:H290 M284:N284 M287:N287 M289:N290 J284:K284 J287:K287 J289:K290 F283:N283 F286:N286" name="Range22"/>
    <protectedRange sqref="G254:H255 G258:H259 G266:H266 G262:H263 M254:N255 M258:N259 M266:N266 M262:N263 J254:K255 J258:K259 J266:K266 J262:K263 F257:N257 F265:N265 F261:N261" name="Range20"/>
    <protectedRange sqref="G233:H235 G241:H241 G238:H238 M233:N235 M241:N241 M238:N238 J233:K235 J241:K241 J238:K238 F240:N240 F232:N232 F237:N237" name="Range18"/>
    <protectedRange sqref="G216:H216 G210:H211 M216:N216 M210:N211 J216:K216 J210:K211 F209:N209 F213:N213 F215:N215" name="Range16"/>
    <protectedRange sqref="G192:H195 G186:H189 M192:N195 M186:N189 J192:K195 J186:K189 F184:N184 F191:N191" name="Range14"/>
    <protectedRange sqref="G172:H172 G159:H159 G170:H170 G162:H162 G167:H167 M172:N172 M159:N159 M170:N170 M162:N162 M167:N167 J172:K172 J159:K159 J170:K170 J162:K162 J167:K167 F164:N164 F166:N166 F169:N169 F158:N158 F161:N161" name="Range12"/>
    <protectedRange sqref="G134:H139 G142:H142 M134:N139 M142:N142 J134:K139 J142:K142 F144:N144 F141:N141" name="Range10"/>
    <protectedRange sqref="G117:H121 G112:H114 M117:N121 M112:N114 J117:K121 J112:K114 F111:N111 F116:N116" name="Range8"/>
    <protectedRange sqref="G80:H80 G83:H83 G86:H86 G94:H94 G89:H89 M80:N80 M83:N83 M86:N86 M94:N94 M89:N89 J80:K80 J83:K83 J86:K86 J94:K94 J89:K89 F93:N93 F85:N85 F88:N88 F79:N79 F91:N91 F82:N82" name="Range6"/>
    <protectedRange sqref="G44:H45 G51:H51 G54:H54 G60 G56:H57 M44:N45 M51:N51 M54:N54 M60 M56:N57 J44:K45 J51:K51 J54:K54 J60 J56:K57 F48:N48 F50:N50 F53:N53 F59:N59 F46:N46" name="Range4"/>
    <protectedRange sqref="G15:H17 G24:H26 G20:H21 M15:N17 M24:N26 M20:N21 J15:K17 J24:K26 J20:K21 F12:N12 F14:N14 F19:N19 F23:N23" name="Range2"/>
    <protectedRange sqref="O1:IV5 A1:N5" name="Range1"/>
    <protectedRange sqref="G29:H29 G38:H38 G32:H32 G35:H35 G43:H44 M29:N29 M38:N38 M32:N32 M35:N35 M43:N44 J29:K29 J38:K38 J32:K32 J35:K35 J43:K44 F42:N42 F37:N37 F40:N40 F28:N28 F31:N31 F34:N34" name="Range3"/>
    <protectedRange sqref="G60:H60 G76:H77 G63:H63 G68:H70 G73:H73 M60:N60 M76:N77 M63:N63 M68:N70 M73:N73 J60:K60 J76:K77 J63:K63 J68:K70 J73:K73 F67:N67 F79:N79 F72:N72 F75:N75 F62:N62 F65:N65" name="Range5"/>
    <protectedRange sqref="G95:H95 G103:H109 G97:H101 M95:N95 M103:N109 M97:N101 J95:K95 J103:K109 J97:K101" name="Range7"/>
    <protectedRange sqref="G124:H124 G133:H133 G127:H130 M124:N124 M133:N133 M127:N130 J124:K124 J133:K133 J127:K130 F132:N132 F123:N123 F126:N126" name="Range9"/>
    <protectedRange sqref="G153:H153 G147:H147 G150:H150 G156:H156 M153:N153 M147:N147 M150:N150 M156:N156 J153:K153 J147:K147 J150:K150 J156:K156 F152:N152 F155:N155 F146:N146 F149:N149" name="Range11"/>
    <protectedRange sqref="G173:H173 G176:H176 G182:H182 G179:H179 M173:N173 M176:N176 M182:N182 M179:N179 J173:K173 J176:K176 J182:K182 J179:K179 F175:N175 F178:N178 F172:N172 F181:N181" name="Range13"/>
    <protectedRange sqref="G204:H204 G198:H201 G207:H207 M204:N204 M198:N201 M207:N207 J204:K204 J198:K201 J207:K207 F206:N206 F197:N197 F203:N203" name="Range15"/>
    <protectedRange sqref="G218:H225 G228:H230 M218:N225 M228:N230 J218:K225 J228:K230 F227:N227" name="Range17"/>
    <protectedRange sqref="G246:H247 G250:H251 M246:N247 M250:N251 J246:K247 J250:K251 F243:N243 F245:N245 F249:N249 F253:N253" name="Range19"/>
    <protectedRange sqref="G281:H281 G269:H269 G272:H272 G277:H278 M281:N281 M269:N269 M272:N272 M277:N278 J281:K281 J269:K269 J272:K272 J277:K278 F276:N276 F280:N280 F268:N268 F271:N271 F283:N283 F274:N274" name="Range21"/>
    <protectedRange sqref="G293:H293 G296:H296 G299:H299 M293:N293 M296:N296 M299:N299 J293:K293 J296:K296 J299:K299 F298:N298 F292:N292 F300:N300 F295:N295" name="Range23"/>
  </protectedRanges>
  <mergeCells count="13">
    <mergeCell ref="A1:L1"/>
    <mergeCell ref="A2:L2"/>
    <mergeCell ref="A3:L3"/>
    <mergeCell ref="A4:L4"/>
    <mergeCell ref="A311:L311"/>
    <mergeCell ref="E6:E8"/>
    <mergeCell ref="F6:H6"/>
    <mergeCell ref="I6:K6"/>
    <mergeCell ref="L6:N6"/>
    <mergeCell ref="A6:A8"/>
    <mergeCell ref="B6:B8"/>
    <mergeCell ref="C6:C8"/>
    <mergeCell ref="D6:D8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4"/>
  <sheetViews>
    <sheetView zoomScalePageLayoutView="0" workbookViewId="0" topLeftCell="A1">
      <selection activeCell="M1" sqref="M1:N16384"/>
    </sheetView>
  </sheetViews>
  <sheetFormatPr defaultColWidth="9.140625" defaultRowHeight="12.75"/>
  <cols>
    <col min="1" max="1" width="5.8515625" style="310" customWidth="1"/>
    <col min="2" max="2" width="49.57421875" style="310" customWidth="1"/>
    <col min="3" max="3" width="7.28125" style="118" customWidth="1"/>
    <col min="4" max="5" width="10.421875" style="310" customWidth="1"/>
    <col min="6" max="6" width="9.421875" style="310" customWidth="1"/>
    <col min="7" max="7" width="8.7109375" style="310" customWidth="1"/>
    <col min="8" max="8" width="8.00390625" style="310" customWidth="1"/>
    <col min="9" max="9" width="8.421875" style="310" customWidth="1"/>
    <col min="10" max="10" width="8.28125" style="310" customWidth="1"/>
    <col min="11" max="12" width="9.28125" style="310" customWidth="1"/>
    <col min="13" max="13" width="11.7109375" style="310" bestFit="1" customWidth="1"/>
    <col min="14" max="16384" width="9.140625" style="310" customWidth="1"/>
  </cols>
  <sheetData>
    <row r="1" spans="1:12" s="87" customFormat="1" ht="12.75">
      <c r="A1" s="101"/>
      <c r="B1" s="67"/>
      <c r="C1" s="102"/>
      <c r="D1" s="102"/>
      <c r="E1" s="102"/>
      <c r="F1" s="102"/>
      <c r="G1" s="102"/>
      <c r="H1" s="102"/>
      <c r="I1" s="102"/>
      <c r="J1" s="67"/>
      <c r="K1" s="67"/>
      <c r="L1" s="102"/>
    </row>
    <row r="2" spans="1:12" s="87" customFormat="1" ht="18" customHeight="1">
      <c r="A2" s="361" t="s">
        <v>12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103"/>
    </row>
    <row r="3" spans="1:12" s="94" customFormat="1" ht="15">
      <c r="A3" s="362" t="s">
        <v>120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s="94" customFormat="1" ht="12.75">
      <c r="A4" s="363" t="s">
        <v>339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s="94" customFormat="1" ht="15" customHeight="1">
      <c r="A5" s="364" t="s">
        <v>760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ht="15.75" thickBot="1">
      <c r="A6" s="104"/>
      <c r="B6" s="104"/>
      <c r="C6" s="104"/>
      <c r="D6" s="105"/>
      <c r="E6" s="105"/>
      <c r="F6" s="105"/>
      <c r="G6" s="105"/>
      <c r="H6" s="105"/>
      <c r="I6" s="105"/>
      <c r="J6" s="105"/>
      <c r="K6" s="13"/>
      <c r="L6" s="13"/>
    </row>
    <row r="7" spans="1:12" ht="13.5" thickBot="1">
      <c r="A7" s="368" t="s">
        <v>340</v>
      </c>
      <c r="B7" s="370" t="s">
        <v>341</v>
      </c>
      <c r="C7" s="371"/>
      <c r="D7" s="338" t="s">
        <v>14</v>
      </c>
      <c r="E7" s="338"/>
      <c r="F7" s="339"/>
      <c r="G7" s="340" t="s">
        <v>15</v>
      </c>
      <c r="H7" s="338"/>
      <c r="I7" s="339"/>
      <c r="J7" s="340" t="s">
        <v>16</v>
      </c>
      <c r="K7" s="338"/>
      <c r="L7" s="339"/>
    </row>
    <row r="8" spans="1:12" ht="30" customHeight="1" thickBot="1">
      <c r="A8" s="369"/>
      <c r="B8" s="372"/>
      <c r="C8" s="373"/>
      <c r="D8" s="330" t="s">
        <v>20</v>
      </c>
      <c r="E8" s="15" t="s">
        <v>21</v>
      </c>
      <c r="F8" s="15"/>
      <c r="G8" s="328" t="s">
        <v>22</v>
      </c>
      <c r="H8" s="16" t="s">
        <v>21</v>
      </c>
      <c r="I8" s="17"/>
      <c r="J8" s="330" t="s">
        <v>23</v>
      </c>
      <c r="K8" s="15" t="s">
        <v>21</v>
      </c>
      <c r="L8" s="18"/>
    </row>
    <row r="9" spans="1:12" ht="25.5">
      <c r="A9" s="369"/>
      <c r="B9" s="108" t="s">
        <v>342</v>
      </c>
      <c r="C9" s="109" t="s">
        <v>343</v>
      </c>
      <c r="D9" s="330"/>
      <c r="E9" s="110" t="s">
        <v>24</v>
      </c>
      <c r="F9" s="111" t="s">
        <v>25</v>
      </c>
      <c r="G9" s="366"/>
      <c r="H9" s="112" t="s">
        <v>24</v>
      </c>
      <c r="I9" s="113" t="s">
        <v>25</v>
      </c>
      <c r="J9" s="330"/>
      <c r="K9" s="110" t="s">
        <v>24</v>
      </c>
      <c r="L9" s="113" t="s">
        <v>25</v>
      </c>
    </row>
    <row r="10" spans="1:12" ht="12.75">
      <c r="A10" s="114">
        <v>1</v>
      </c>
      <c r="B10" s="114">
        <v>2</v>
      </c>
      <c r="C10" s="114" t="s">
        <v>143</v>
      </c>
      <c r="D10" s="30">
        <v>4</v>
      </c>
      <c r="E10" s="30">
        <v>5</v>
      </c>
      <c r="F10" s="115">
        <v>6</v>
      </c>
      <c r="G10" s="30">
        <v>7</v>
      </c>
      <c r="H10" s="30">
        <v>8</v>
      </c>
      <c r="I10" s="115">
        <v>9</v>
      </c>
      <c r="J10" s="30">
        <v>10</v>
      </c>
      <c r="K10" s="30">
        <v>11</v>
      </c>
      <c r="L10" s="115">
        <v>12</v>
      </c>
    </row>
    <row r="11" spans="1:12" ht="21" customHeight="1">
      <c r="A11" s="59">
        <v>4000</v>
      </c>
      <c r="B11" s="245" t="s">
        <v>389</v>
      </c>
      <c r="C11" s="246"/>
      <c r="D11" s="311">
        <f aca="true" t="shared" si="0" ref="D11:I11">SUM(D13,D174,D209)</f>
        <v>760633</v>
      </c>
      <c r="E11" s="311">
        <f t="shared" si="0"/>
        <v>760633</v>
      </c>
      <c r="F11" s="311">
        <f t="shared" si="0"/>
        <v>0</v>
      </c>
      <c r="G11" s="311">
        <f t="shared" si="0"/>
        <v>766567.8859999999</v>
      </c>
      <c r="H11" s="311">
        <f t="shared" si="0"/>
        <v>759130.2999999999</v>
      </c>
      <c r="I11" s="311">
        <f t="shared" si="0"/>
        <v>7437.58600000001</v>
      </c>
      <c r="J11" s="311">
        <f>SUM(J13,J174,J209)</f>
        <v>447169.84799999994</v>
      </c>
      <c r="K11" s="311">
        <f>SUM(K13,K174,K209)</f>
        <v>482889.893</v>
      </c>
      <c r="L11" s="311">
        <f>SUM(L13,L174,L209)</f>
        <v>-35720.04500000001</v>
      </c>
    </row>
    <row r="12" spans="1:12" ht="12.75">
      <c r="A12" s="59"/>
      <c r="B12" s="248" t="s">
        <v>344</v>
      </c>
      <c r="C12" s="246"/>
      <c r="D12" s="311"/>
      <c r="E12" s="311"/>
      <c r="F12" s="311"/>
      <c r="G12" s="311"/>
      <c r="H12" s="311"/>
      <c r="I12" s="311"/>
      <c r="J12" s="311"/>
      <c r="K12" s="311"/>
      <c r="L12" s="311"/>
    </row>
    <row r="13" spans="1:12" ht="42" customHeight="1">
      <c r="A13" s="59">
        <v>4050</v>
      </c>
      <c r="B13" s="249" t="s">
        <v>390</v>
      </c>
      <c r="C13" s="57" t="s">
        <v>345</v>
      </c>
      <c r="D13" s="311">
        <f aca="true" t="shared" si="1" ref="D13:I13">SUM(D15,D28,D71,D86,D96,D130,D145)</f>
        <v>770633</v>
      </c>
      <c r="E13" s="311">
        <f t="shared" si="1"/>
        <v>760633</v>
      </c>
      <c r="F13" s="311">
        <f t="shared" si="1"/>
        <v>10000</v>
      </c>
      <c r="G13" s="311">
        <f t="shared" si="1"/>
        <v>765475.2999999999</v>
      </c>
      <c r="H13" s="311">
        <f t="shared" si="1"/>
        <v>759130.2999999999</v>
      </c>
      <c r="I13" s="311">
        <f t="shared" si="1"/>
        <v>6345</v>
      </c>
      <c r="J13" s="311">
        <f>SUM(J15,J28,J71,J86,J96,J130,J145)</f>
        <v>482889.893</v>
      </c>
      <c r="K13" s="311">
        <f>SUM(K15,K28,K71,K86,K96,K130,K145)</f>
        <v>482889.893</v>
      </c>
      <c r="L13" s="311">
        <f>SUM(L15,L28,L71,L86,L96,L130,L145)</f>
        <v>0</v>
      </c>
    </row>
    <row r="14" spans="1:12" ht="12.75">
      <c r="A14" s="59"/>
      <c r="B14" s="248" t="s">
        <v>344</v>
      </c>
      <c r="C14" s="246"/>
      <c r="D14" s="311"/>
      <c r="E14" s="311"/>
      <c r="F14" s="311"/>
      <c r="G14" s="311"/>
      <c r="H14" s="311"/>
      <c r="I14" s="311"/>
      <c r="J14" s="311"/>
      <c r="K14" s="311"/>
      <c r="L14" s="311"/>
    </row>
    <row r="15" spans="1:12" ht="30.75" customHeight="1">
      <c r="A15" s="59">
        <v>4100</v>
      </c>
      <c r="B15" s="229" t="s">
        <v>391</v>
      </c>
      <c r="C15" s="250" t="s">
        <v>345</v>
      </c>
      <c r="D15" s="311">
        <f>SUM(D17,D22,D25)</f>
        <v>150797.7</v>
      </c>
      <c r="E15" s="311">
        <f>SUM(E17,E22,E25)</f>
        <v>150797.7</v>
      </c>
      <c r="F15" s="311" t="s">
        <v>29</v>
      </c>
      <c r="G15" s="311">
        <f>SUM(G17,G22,G25)</f>
        <v>150297.729</v>
      </c>
      <c r="H15" s="311">
        <f>SUM(H17,H22,H25)</f>
        <v>150297.729</v>
      </c>
      <c r="I15" s="311" t="s">
        <v>29</v>
      </c>
      <c r="J15" s="311">
        <f>SUM(J17,J22,J25)</f>
        <v>100184.86899999999</v>
      </c>
      <c r="K15" s="311">
        <f>SUM(K17,K22,K25)</f>
        <v>100184.86899999999</v>
      </c>
      <c r="L15" s="311" t="s">
        <v>29</v>
      </c>
    </row>
    <row r="16" spans="1:12" ht="12.75">
      <c r="A16" s="59"/>
      <c r="B16" s="248" t="s">
        <v>344</v>
      </c>
      <c r="C16" s="246"/>
      <c r="D16" s="311"/>
      <c r="E16" s="311"/>
      <c r="F16" s="311"/>
      <c r="G16" s="311"/>
      <c r="H16" s="311"/>
      <c r="I16" s="311"/>
      <c r="J16" s="311"/>
      <c r="K16" s="311"/>
      <c r="L16" s="311"/>
    </row>
    <row r="17" spans="1:12" ht="21">
      <c r="A17" s="59">
        <v>4110</v>
      </c>
      <c r="B17" s="251" t="s">
        <v>346</v>
      </c>
      <c r="C17" s="250" t="s">
        <v>345</v>
      </c>
      <c r="D17" s="311">
        <f>SUM(D19:D21)</f>
        <v>150797.7</v>
      </c>
      <c r="E17" s="311">
        <f>SUM(E19:E21)</f>
        <v>150797.7</v>
      </c>
      <c r="F17" s="252" t="s">
        <v>134</v>
      </c>
      <c r="G17" s="311">
        <f>SUM(G19:G21)</f>
        <v>150297.729</v>
      </c>
      <c r="H17" s="311">
        <f>SUM(H19:H21)</f>
        <v>150297.729</v>
      </c>
      <c r="I17" s="252" t="s">
        <v>134</v>
      </c>
      <c r="J17" s="311">
        <f>SUM(J19:J21)</f>
        <v>100184.86899999999</v>
      </c>
      <c r="K17" s="311">
        <f>SUM(K19:K21)</f>
        <v>100184.86899999999</v>
      </c>
      <c r="L17" s="252" t="s">
        <v>134</v>
      </c>
    </row>
    <row r="18" spans="1:12" ht="12.75">
      <c r="A18" s="59"/>
      <c r="B18" s="248" t="s">
        <v>139</v>
      </c>
      <c r="C18" s="250"/>
      <c r="D18" s="311"/>
      <c r="E18" s="311"/>
      <c r="F18" s="252"/>
      <c r="G18" s="311"/>
      <c r="H18" s="311"/>
      <c r="I18" s="252"/>
      <c r="J18" s="311"/>
      <c r="K18" s="311"/>
      <c r="L18" s="252"/>
    </row>
    <row r="19" spans="1:12" ht="12.75">
      <c r="A19" s="59">
        <v>4111</v>
      </c>
      <c r="B19" s="253" t="s">
        <v>416</v>
      </c>
      <c r="C19" s="254" t="s">
        <v>417</v>
      </c>
      <c r="D19" s="234">
        <f>SUM(E19:F19)</f>
        <v>129897.7</v>
      </c>
      <c r="E19" s="311">
        <f>129897.7</f>
        <v>129897.7</v>
      </c>
      <c r="F19" s="252" t="s">
        <v>134</v>
      </c>
      <c r="G19" s="234">
        <f>SUM(H19:I19)</f>
        <v>129397.729</v>
      </c>
      <c r="H19" s="311">
        <v>129397.729</v>
      </c>
      <c r="I19" s="252" t="s">
        <v>134</v>
      </c>
      <c r="J19" s="234">
        <f>SUM(K19:L19)</f>
        <v>91069.862</v>
      </c>
      <c r="K19" s="311">
        <v>91069.862</v>
      </c>
      <c r="L19" s="252" t="s">
        <v>134</v>
      </c>
    </row>
    <row r="20" spans="1:12" ht="21">
      <c r="A20" s="59">
        <v>4112</v>
      </c>
      <c r="B20" s="253" t="s">
        <v>418</v>
      </c>
      <c r="C20" s="254" t="s">
        <v>419</v>
      </c>
      <c r="D20" s="234">
        <f>SUM(E20:F20)</f>
        <v>20900</v>
      </c>
      <c r="E20" s="311">
        <f>20900</f>
        <v>20900</v>
      </c>
      <c r="F20" s="252" t="s">
        <v>134</v>
      </c>
      <c r="G20" s="234">
        <f>SUM(H20:I20)</f>
        <v>20900</v>
      </c>
      <c r="H20" s="311">
        <f>20900</f>
        <v>20900</v>
      </c>
      <c r="I20" s="252" t="s">
        <v>134</v>
      </c>
      <c r="J20" s="234">
        <f>SUM(K20:L20)</f>
        <v>9115.007</v>
      </c>
      <c r="K20" s="311">
        <f>6671.432+2443.575</f>
        <v>9115.007</v>
      </c>
      <c r="L20" s="252" t="s">
        <v>134</v>
      </c>
    </row>
    <row r="21" spans="1:12" ht="12.75">
      <c r="A21" s="59">
        <v>4114</v>
      </c>
      <c r="B21" s="253" t="s">
        <v>420</v>
      </c>
      <c r="C21" s="254" t="s">
        <v>421</v>
      </c>
      <c r="D21" s="234">
        <f>SUM(E21:F21)</f>
        <v>0</v>
      </c>
      <c r="E21" s="311"/>
      <c r="F21" s="252" t="s">
        <v>134</v>
      </c>
      <c r="G21" s="234">
        <f>SUM(H21:I21)</f>
        <v>0</v>
      </c>
      <c r="H21" s="311"/>
      <c r="I21" s="252" t="s">
        <v>134</v>
      </c>
      <c r="J21" s="234">
        <f>SUM(K21:L21)</f>
        <v>0</v>
      </c>
      <c r="K21" s="311"/>
      <c r="L21" s="252" t="s">
        <v>134</v>
      </c>
    </row>
    <row r="22" spans="1:12" ht="21">
      <c r="A22" s="59">
        <v>4120</v>
      </c>
      <c r="B22" s="255" t="s">
        <v>422</v>
      </c>
      <c r="C22" s="250" t="s">
        <v>345</v>
      </c>
      <c r="D22" s="311">
        <f>SUM(D24)</f>
        <v>0</v>
      </c>
      <c r="E22" s="311">
        <f>SUM(E24)</f>
        <v>0</v>
      </c>
      <c r="F22" s="252" t="s">
        <v>134</v>
      </c>
      <c r="G22" s="311">
        <f>SUM(G24)</f>
        <v>0</v>
      </c>
      <c r="H22" s="311">
        <f>SUM(H24)</f>
        <v>0</v>
      </c>
      <c r="I22" s="252" t="s">
        <v>134</v>
      </c>
      <c r="J22" s="311">
        <f>SUM(J24)</f>
        <v>0</v>
      </c>
      <c r="K22" s="311">
        <f>SUM(K24)</f>
        <v>0</v>
      </c>
      <c r="L22" s="252" t="s">
        <v>134</v>
      </c>
    </row>
    <row r="23" spans="1:12" ht="12.75">
      <c r="A23" s="59"/>
      <c r="B23" s="248" t="s">
        <v>139</v>
      </c>
      <c r="C23" s="250"/>
      <c r="D23" s="311"/>
      <c r="E23" s="311"/>
      <c r="F23" s="252"/>
      <c r="G23" s="311"/>
      <c r="H23" s="311"/>
      <c r="I23" s="252"/>
      <c r="J23" s="311"/>
      <c r="K23" s="311"/>
      <c r="L23" s="252"/>
    </row>
    <row r="24" spans="1:12" ht="13.5" customHeight="1">
      <c r="A24" s="59">
        <v>4121</v>
      </c>
      <c r="B24" s="253" t="s">
        <v>423</v>
      </c>
      <c r="C24" s="254" t="s">
        <v>424</v>
      </c>
      <c r="D24" s="234">
        <f>SUM(E24:F24)</f>
        <v>0</v>
      </c>
      <c r="E24" s="311"/>
      <c r="F24" s="252" t="s">
        <v>134</v>
      </c>
      <c r="G24" s="234">
        <f>SUM(H24:I24)</f>
        <v>0</v>
      </c>
      <c r="H24" s="311"/>
      <c r="I24" s="252" t="s">
        <v>134</v>
      </c>
      <c r="J24" s="234">
        <f>SUM(K24:L24)</f>
        <v>0</v>
      </c>
      <c r="K24" s="311"/>
      <c r="L24" s="252" t="s">
        <v>134</v>
      </c>
    </row>
    <row r="25" spans="1:12" ht="25.5" customHeight="1">
      <c r="A25" s="59">
        <v>4130</v>
      </c>
      <c r="B25" s="255" t="s">
        <v>425</v>
      </c>
      <c r="C25" s="250" t="s">
        <v>345</v>
      </c>
      <c r="D25" s="311">
        <f>SUM(D27)</f>
        <v>0</v>
      </c>
      <c r="E25" s="311">
        <f>SUM(E27)</f>
        <v>0</v>
      </c>
      <c r="F25" s="311" t="s">
        <v>29</v>
      </c>
      <c r="G25" s="311">
        <f>SUM(G27)</f>
        <v>0</v>
      </c>
      <c r="H25" s="311">
        <f>SUM(H27)</f>
        <v>0</v>
      </c>
      <c r="I25" s="311" t="s">
        <v>29</v>
      </c>
      <c r="J25" s="311">
        <f>SUM(J27)</f>
        <v>0</v>
      </c>
      <c r="K25" s="311">
        <f>SUM(K27)</f>
        <v>0</v>
      </c>
      <c r="L25" s="311" t="s">
        <v>29</v>
      </c>
    </row>
    <row r="26" spans="1:12" ht="12.75">
      <c r="A26" s="59"/>
      <c r="B26" s="248" t="s">
        <v>139</v>
      </c>
      <c r="C26" s="250"/>
      <c r="D26" s="311"/>
      <c r="E26" s="311"/>
      <c r="F26" s="252"/>
      <c r="G26" s="311"/>
      <c r="H26" s="311"/>
      <c r="I26" s="252"/>
      <c r="J26" s="311"/>
      <c r="K26" s="311"/>
      <c r="L26" s="252"/>
    </row>
    <row r="27" spans="1:12" ht="13.5" customHeight="1">
      <c r="A27" s="59">
        <v>4131</v>
      </c>
      <c r="B27" s="255" t="s">
        <v>426</v>
      </c>
      <c r="C27" s="254" t="s">
        <v>427</v>
      </c>
      <c r="D27" s="234">
        <f>SUM(E27:F27)</f>
        <v>0</v>
      </c>
      <c r="E27" s="311"/>
      <c r="F27" s="252" t="s">
        <v>29</v>
      </c>
      <c r="G27" s="234">
        <f>SUM(H27:I27)</f>
        <v>0</v>
      </c>
      <c r="H27" s="311"/>
      <c r="I27" s="252" t="s">
        <v>29</v>
      </c>
      <c r="J27" s="234">
        <f>SUM(K27:L27)</f>
        <v>0</v>
      </c>
      <c r="K27" s="311"/>
      <c r="L27" s="252" t="s">
        <v>29</v>
      </c>
    </row>
    <row r="28" spans="1:12" ht="36" customHeight="1">
      <c r="A28" s="59">
        <v>4200</v>
      </c>
      <c r="B28" s="253" t="s">
        <v>428</v>
      </c>
      <c r="C28" s="250" t="s">
        <v>345</v>
      </c>
      <c r="D28" s="311">
        <f>SUM(D30,D39,D44,D54,D57,D61)</f>
        <v>104479.6</v>
      </c>
      <c r="E28" s="311">
        <f>SUM(E30,E39,E44,E54,E57,E61)</f>
        <v>104479.6</v>
      </c>
      <c r="F28" s="252" t="s">
        <v>134</v>
      </c>
      <c r="G28" s="311">
        <f>SUM(G30,G39,G44,G54,G57,G61)</f>
        <v>108758.75000000001</v>
      </c>
      <c r="H28" s="311">
        <f>SUM(H30,H39,H44,H54,H57,H61)</f>
        <v>108758.75000000001</v>
      </c>
      <c r="I28" s="252" t="s">
        <v>134</v>
      </c>
      <c r="J28" s="311">
        <f>SUM(J30,J39,J44,J54,J57,J61)</f>
        <v>72490.606</v>
      </c>
      <c r="K28" s="311">
        <f>SUM(K30,K39,K44,K54,K57,K61)</f>
        <v>72490.606</v>
      </c>
      <c r="L28" s="252" t="s">
        <v>134</v>
      </c>
    </row>
    <row r="29" spans="1:12" ht="12.75">
      <c r="A29" s="59"/>
      <c r="B29" s="248" t="s">
        <v>344</v>
      </c>
      <c r="C29" s="246"/>
      <c r="D29" s="311"/>
      <c r="E29" s="311"/>
      <c r="F29" s="311"/>
      <c r="G29" s="311"/>
      <c r="H29" s="311"/>
      <c r="I29" s="311"/>
      <c r="J29" s="311"/>
      <c r="K29" s="311"/>
      <c r="L29" s="311"/>
    </row>
    <row r="30" spans="1:12" ht="31.5">
      <c r="A30" s="59">
        <v>4210</v>
      </c>
      <c r="B30" s="255" t="s">
        <v>429</v>
      </c>
      <c r="C30" s="250" t="s">
        <v>345</v>
      </c>
      <c r="D30" s="311">
        <f>SUM(D32:D38)</f>
        <v>69772</v>
      </c>
      <c r="E30" s="311">
        <f>SUM(E32:E38)</f>
        <v>69772</v>
      </c>
      <c r="F30" s="252" t="s">
        <v>134</v>
      </c>
      <c r="G30" s="311">
        <f>SUM(G32:G38)</f>
        <v>67940.429</v>
      </c>
      <c r="H30" s="311">
        <f>SUM(H32:H38)</f>
        <v>67940.429</v>
      </c>
      <c r="I30" s="252" t="s">
        <v>134</v>
      </c>
      <c r="J30" s="311">
        <f>SUM(J32:J38)</f>
        <v>46203.79</v>
      </c>
      <c r="K30" s="311">
        <f>SUM(K32:K38)</f>
        <v>46203.79</v>
      </c>
      <c r="L30" s="252" t="s">
        <v>134</v>
      </c>
    </row>
    <row r="31" spans="1:12" ht="12.75">
      <c r="A31" s="59"/>
      <c r="B31" s="248" t="s">
        <v>139</v>
      </c>
      <c r="C31" s="250"/>
      <c r="D31" s="311"/>
      <c r="E31" s="311"/>
      <c r="F31" s="252"/>
      <c r="G31" s="311"/>
      <c r="H31" s="311"/>
      <c r="I31" s="252"/>
      <c r="J31" s="311"/>
      <c r="K31" s="311"/>
      <c r="L31" s="252"/>
    </row>
    <row r="32" spans="1:12" ht="11.25" customHeight="1">
      <c r="A32" s="59">
        <v>4211</v>
      </c>
      <c r="B32" s="253" t="s">
        <v>430</v>
      </c>
      <c r="C32" s="254" t="s">
        <v>431</v>
      </c>
      <c r="D32" s="234">
        <f aca="true" t="shared" si="2" ref="D32:D38">SUM(E32:F32)</f>
        <v>0</v>
      </c>
      <c r="E32" s="311"/>
      <c r="F32" s="252" t="s">
        <v>134</v>
      </c>
      <c r="G32" s="234">
        <f aca="true" t="shared" si="3" ref="G32:G38">SUM(H32:I32)</f>
        <v>0</v>
      </c>
      <c r="H32" s="311"/>
      <c r="I32" s="252" t="s">
        <v>134</v>
      </c>
      <c r="J32" s="234">
        <f aca="true" t="shared" si="4" ref="J32:J38">SUM(K32:L32)</f>
        <v>0</v>
      </c>
      <c r="K32" s="311"/>
      <c r="L32" s="252" t="s">
        <v>134</v>
      </c>
    </row>
    <row r="33" spans="1:12" ht="12.75">
      <c r="A33" s="59">
        <v>4212</v>
      </c>
      <c r="B33" s="255" t="s">
        <v>392</v>
      </c>
      <c r="C33" s="254" t="s">
        <v>432</v>
      </c>
      <c r="D33" s="234">
        <f t="shared" si="2"/>
        <v>56429</v>
      </c>
      <c r="E33" s="311">
        <f>56429</f>
        <v>56429</v>
      </c>
      <c r="F33" s="252" t="s">
        <v>134</v>
      </c>
      <c r="G33" s="234">
        <f t="shared" si="3"/>
        <v>55097.389</v>
      </c>
      <c r="H33" s="311">
        <v>55097.389</v>
      </c>
      <c r="I33" s="252" t="s">
        <v>134</v>
      </c>
      <c r="J33" s="234">
        <f t="shared" si="4"/>
        <v>40999.717</v>
      </c>
      <c r="K33" s="311">
        <v>40999.717</v>
      </c>
      <c r="L33" s="252" t="s">
        <v>134</v>
      </c>
    </row>
    <row r="34" spans="1:12" ht="12.75">
      <c r="A34" s="59">
        <v>4213</v>
      </c>
      <c r="B34" s="253" t="s">
        <v>433</v>
      </c>
      <c r="C34" s="254" t="s">
        <v>434</v>
      </c>
      <c r="D34" s="234">
        <f t="shared" si="2"/>
        <v>5093.6</v>
      </c>
      <c r="E34" s="311">
        <f>5093.6</f>
        <v>5093.6</v>
      </c>
      <c r="F34" s="252" t="s">
        <v>134</v>
      </c>
      <c r="G34" s="234">
        <f t="shared" si="3"/>
        <v>4593.64</v>
      </c>
      <c r="H34" s="311">
        <v>4593.64</v>
      </c>
      <c r="I34" s="252" t="s">
        <v>134</v>
      </c>
      <c r="J34" s="234">
        <f t="shared" si="4"/>
        <v>1259.72</v>
      </c>
      <c r="K34" s="311">
        <v>1259.72</v>
      </c>
      <c r="L34" s="252" t="s">
        <v>134</v>
      </c>
    </row>
    <row r="35" spans="1:12" ht="12.75">
      <c r="A35" s="59">
        <v>4214</v>
      </c>
      <c r="B35" s="253" t="s">
        <v>435</v>
      </c>
      <c r="C35" s="254" t="s">
        <v>436</v>
      </c>
      <c r="D35" s="234">
        <f t="shared" si="2"/>
        <v>6325.4</v>
      </c>
      <c r="E35" s="311">
        <f>6325.4</f>
        <v>6325.4</v>
      </c>
      <c r="F35" s="252" t="s">
        <v>134</v>
      </c>
      <c r="G35" s="234">
        <f t="shared" si="3"/>
        <v>6325.4</v>
      </c>
      <c r="H35" s="311">
        <v>6325.4</v>
      </c>
      <c r="I35" s="252" t="s">
        <v>134</v>
      </c>
      <c r="J35" s="234">
        <f t="shared" si="4"/>
        <v>2888.353</v>
      </c>
      <c r="K35" s="311">
        <v>2888.353</v>
      </c>
      <c r="L35" s="252" t="s">
        <v>134</v>
      </c>
    </row>
    <row r="36" spans="1:12" ht="12.75">
      <c r="A36" s="59">
        <v>4215</v>
      </c>
      <c r="B36" s="253" t="s">
        <v>437</v>
      </c>
      <c r="C36" s="254" t="s">
        <v>438</v>
      </c>
      <c r="D36" s="234">
        <f t="shared" si="2"/>
        <v>844</v>
      </c>
      <c r="E36" s="311">
        <f>844</f>
        <v>844</v>
      </c>
      <c r="F36" s="252" t="s">
        <v>134</v>
      </c>
      <c r="G36" s="234">
        <f t="shared" si="3"/>
        <v>844</v>
      </c>
      <c r="H36" s="311">
        <f>844</f>
        <v>844</v>
      </c>
      <c r="I36" s="252" t="s">
        <v>134</v>
      </c>
      <c r="J36" s="234">
        <f t="shared" si="4"/>
        <v>426</v>
      </c>
      <c r="K36" s="311">
        <v>426</v>
      </c>
      <c r="L36" s="252" t="s">
        <v>134</v>
      </c>
    </row>
    <row r="37" spans="1:12" ht="17.25" customHeight="1">
      <c r="A37" s="59">
        <v>4216</v>
      </c>
      <c r="B37" s="253" t="s">
        <v>439</v>
      </c>
      <c r="C37" s="254" t="s">
        <v>440</v>
      </c>
      <c r="D37" s="234">
        <f t="shared" si="2"/>
        <v>1080</v>
      </c>
      <c r="E37" s="311">
        <f>1080</f>
        <v>1080</v>
      </c>
      <c r="F37" s="252" t="s">
        <v>134</v>
      </c>
      <c r="G37" s="234">
        <f t="shared" si="3"/>
        <v>1080</v>
      </c>
      <c r="H37" s="311">
        <f>1080</f>
        <v>1080</v>
      </c>
      <c r="I37" s="252" t="s">
        <v>134</v>
      </c>
      <c r="J37" s="234">
        <f t="shared" si="4"/>
        <v>630</v>
      </c>
      <c r="K37" s="311">
        <v>630</v>
      </c>
      <c r="L37" s="252" t="s">
        <v>134</v>
      </c>
    </row>
    <row r="38" spans="1:12" ht="12.75">
      <c r="A38" s="59">
        <v>4217</v>
      </c>
      <c r="B38" s="253" t="s">
        <v>441</v>
      </c>
      <c r="C38" s="254" t="s">
        <v>442</v>
      </c>
      <c r="D38" s="234">
        <f t="shared" si="2"/>
        <v>0</v>
      </c>
      <c r="E38" s="311"/>
      <c r="F38" s="252" t="s">
        <v>134</v>
      </c>
      <c r="G38" s="234">
        <f t="shared" si="3"/>
        <v>0</v>
      </c>
      <c r="H38" s="311"/>
      <c r="I38" s="252" t="s">
        <v>134</v>
      </c>
      <c r="J38" s="234">
        <f t="shared" si="4"/>
        <v>0</v>
      </c>
      <c r="K38" s="311"/>
      <c r="L38" s="252" t="s">
        <v>134</v>
      </c>
    </row>
    <row r="39" spans="1:12" ht="21">
      <c r="A39" s="59">
        <v>4220</v>
      </c>
      <c r="B39" s="255" t="s">
        <v>443</v>
      </c>
      <c r="C39" s="250" t="s">
        <v>345</v>
      </c>
      <c r="D39" s="311">
        <f>SUM(D41:D43)</f>
        <v>479</v>
      </c>
      <c r="E39" s="311">
        <f>SUM(E41:E43)</f>
        <v>479</v>
      </c>
      <c r="F39" s="252" t="s">
        <v>134</v>
      </c>
      <c r="G39" s="311">
        <f>SUM(G41:G43)</f>
        <v>879</v>
      </c>
      <c r="H39" s="311">
        <f>SUM(H41:H43)</f>
        <v>879</v>
      </c>
      <c r="I39" s="252" t="s">
        <v>134</v>
      </c>
      <c r="J39" s="311">
        <f>SUM(J41:J43)</f>
        <v>799</v>
      </c>
      <c r="K39" s="311">
        <f>SUM(K41:K43)</f>
        <v>799</v>
      </c>
      <c r="L39" s="252" t="s">
        <v>134</v>
      </c>
    </row>
    <row r="40" spans="1:12" ht="12.75">
      <c r="A40" s="59"/>
      <c r="B40" s="248" t="s">
        <v>139</v>
      </c>
      <c r="C40" s="250"/>
      <c r="D40" s="311"/>
      <c r="E40" s="311"/>
      <c r="F40" s="252"/>
      <c r="G40" s="311"/>
      <c r="H40" s="311"/>
      <c r="I40" s="252"/>
      <c r="J40" s="311"/>
      <c r="K40" s="311"/>
      <c r="L40" s="252"/>
    </row>
    <row r="41" spans="1:12" ht="12.75">
      <c r="A41" s="59">
        <v>4221</v>
      </c>
      <c r="B41" s="253" t="s">
        <v>444</v>
      </c>
      <c r="C41" s="114">
        <v>4221</v>
      </c>
      <c r="D41" s="234">
        <f>SUM(E41:F41)</f>
        <v>479</v>
      </c>
      <c r="E41" s="311">
        <f>479</f>
        <v>479</v>
      </c>
      <c r="F41" s="252" t="s">
        <v>134</v>
      </c>
      <c r="G41" s="234">
        <f>SUM(H41:I41)</f>
        <v>879</v>
      </c>
      <c r="H41" s="311">
        <v>879</v>
      </c>
      <c r="I41" s="252" t="s">
        <v>134</v>
      </c>
      <c r="J41" s="234">
        <f>SUM(K41:L41)</f>
        <v>799</v>
      </c>
      <c r="K41" s="311">
        <v>799</v>
      </c>
      <c r="L41" s="252" t="s">
        <v>134</v>
      </c>
    </row>
    <row r="42" spans="1:12" ht="12.75">
      <c r="A42" s="59">
        <v>4222</v>
      </c>
      <c r="B42" s="253" t="s">
        <v>445</v>
      </c>
      <c r="C42" s="254" t="s">
        <v>446</v>
      </c>
      <c r="D42" s="234">
        <f>SUM(E42:F42)</f>
        <v>0</v>
      </c>
      <c r="E42" s="311"/>
      <c r="F42" s="252" t="s">
        <v>134</v>
      </c>
      <c r="G42" s="234">
        <f>SUM(H42:I42)</f>
        <v>0</v>
      </c>
      <c r="H42" s="311"/>
      <c r="I42" s="252" t="s">
        <v>134</v>
      </c>
      <c r="J42" s="234">
        <f>SUM(K42:L42)</f>
        <v>0</v>
      </c>
      <c r="K42" s="311"/>
      <c r="L42" s="252" t="s">
        <v>134</v>
      </c>
    </row>
    <row r="43" spans="1:12" ht="12.75">
      <c r="A43" s="59">
        <v>4223</v>
      </c>
      <c r="B43" s="253" t="s">
        <v>447</v>
      </c>
      <c r="C43" s="254" t="s">
        <v>448</v>
      </c>
      <c r="D43" s="234">
        <f>SUM(E43:F43)</f>
        <v>0</v>
      </c>
      <c r="E43" s="311"/>
      <c r="F43" s="252" t="s">
        <v>134</v>
      </c>
      <c r="G43" s="234">
        <f>SUM(H43:I43)</f>
        <v>0</v>
      </c>
      <c r="H43" s="311"/>
      <c r="I43" s="252" t="s">
        <v>134</v>
      </c>
      <c r="J43" s="234">
        <f>SUM(K43:L43)</f>
        <v>0</v>
      </c>
      <c r="K43" s="311"/>
      <c r="L43" s="252" t="s">
        <v>134</v>
      </c>
    </row>
    <row r="44" spans="1:12" ht="42">
      <c r="A44" s="59">
        <v>4230</v>
      </c>
      <c r="B44" s="255" t="s">
        <v>449</v>
      </c>
      <c r="C44" s="250" t="s">
        <v>345</v>
      </c>
      <c r="D44" s="311">
        <f>SUM(D46:D53)</f>
        <v>7095.6</v>
      </c>
      <c r="E44" s="311">
        <f>SUM(E46:E53)</f>
        <v>7095.6</v>
      </c>
      <c r="F44" s="252" t="s">
        <v>134</v>
      </c>
      <c r="G44" s="311">
        <f>SUM(G46:G53)</f>
        <v>6895.6</v>
      </c>
      <c r="H44" s="311">
        <f>SUM(H46:H53)</f>
        <v>6895.6</v>
      </c>
      <c r="I44" s="252" t="s">
        <v>134</v>
      </c>
      <c r="J44" s="311">
        <f>SUM(J46:J53)</f>
        <v>2509.0919999999996</v>
      </c>
      <c r="K44" s="311">
        <f>SUM(K46:K53)</f>
        <v>2509.0919999999996</v>
      </c>
      <c r="L44" s="252" t="s">
        <v>134</v>
      </c>
    </row>
    <row r="45" spans="1:12" ht="12.75">
      <c r="A45" s="59"/>
      <c r="B45" s="248" t="s">
        <v>139</v>
      </c>
      <c r="C45" s="250"/>
      <c r="D45" s="311"/>
      <c r="E45" s="311"/>
      <c r="F45" s="252"/>
      <c r="G45" s="311"/>
      <c r="H45" s="311"/>
      <c r="I45" s="252"/>
      <c r="J45" s="311"/>
      <c r="K45" s="311"/>
      <c r="L45" s="252"/>
    </row>
    <row r="46" spans="1:12" ht="12.75">
      <c r="A46" s="59">
        <v>4231</v>
      </c>
      <c r="B46" s="253" t="s">
        <v>450</v>
      </c>
      <c r="C46" s="254" t="s">
        <v>451</v>
      </c>
      <c r="D46" s="234">
        <f>SUM(E46:F46)</f>
        <v>0</v>
      </c>
      <c r="E46" s="311"/>
      <c r="F46" s="252" t="s">
        <v>134</v>
      </c>
      <c r="G46" s="234">
        <f>SUM(H46:I46)</f>
        <v>0</v>
      </c>
      <c r="H46" s="311"/>
      <c r="I46" s="252" t="s">
        <v>134</v>
      </c>
      <c r="J46" s="234">
        <f>SUM(K46:L46)</f>
        <v>0</v>
      </c>
      <c r="K46" s="311"/>
      <c r="L46" s="252" t="s">
        <v>134</v>
      </c>
    </row>
    <row r="47" spans="1:12" ht="12.75">
      <c r="A47" s="59">
        <v>4232</v>
      </c>
      <c r="B47" s="253" t="s">
        <v>452</v>
      </c>
      <c r="C47" s="254" t="s">
        <v>453</v>
      </c>
      <c r="D47" s="234">
        <f aca="true" t="shared" si="5" ref="D47:D53">SUM(E47:F47)</f>
        <v>753.6</v>
      </c>
      <c r="E47" s="311">
        <f>753.6</f>
        <v>753.6</v>
      </c>
      <c r="F47" s="252" t="s">
        <v>134</v>
      </c>
      <c r="G47" s="234">
        <f aca="true" t="shared" si="6" ref="G47:G53">SUM(H47:I47)</f>
        <v>753.6</v>
      </c>
      <c r="H47" s="311">
        <f>753.6</f>
        <v>753.6</v>
      </c>
      <c r="I47" s="252" t="s">
        <v>134</v>
      </c>
      <c r="J47" s="234">
        <f aca="true" t="shared" si="7" ref="J47:J53">SUM(K47:L47)</f>
        <v>502.4</v>
      </c>
      <c r="K47" s="311">
        <v>502.4</v>
      </c>
      <c r="L47" s="252" t="s">
        <v>134</v>
      </c>
    </row>
    <row r="48" spans="1:12" ht="21">
      <c r="A48" s="59">
        <v>4233</v>
      </c>
      <c r="B48" s="253" t="s">
        <v>454</v>
      </c>
      <c r="C48" s="254" t="s">
        <v>455</v>
      </c>
      <c r="D48" s="234">
        <f t="shared" si="5"/>
        <v>0</v>
      </c>
      <c r="E48" s="311"/>
      <c r="F48" s="252" t="s">
        <v>134</v>
      </c>
      <c r="G48" s="234">
        <f t="shared" si="6"/>
        <v>0</v>
      </c>
      <c r="H48" s="311"/>
      <c r="I48" s="252" t="s">
        <v>134</v>
      </c>
      <c r="J48" s="234">
        <f t="shared" si="7"/>
        <v>0</v>
      </c>
      <c r="K48" s="311"/>
      <c r="L48" s="252" t="s">
        <v>134</v>
      </c>
    </row>
    <row r="49" spans="1:12" ht="12.75">
      <c r="A49" s="59">
        <v>4234</v>
      </c>
      <c r="B49" s="253" t="s">
        <v>456</v>
      </c>
      <c r="C49" s="254" t="s">
        <v>457</v>
      </c>
      <c r="D49" s="234">
        <f t="shared" si="5"/>
        <v>1342</v>
      </c>
      <c r="E49" s="311">
        <f>1342</f>
        <v>1342</v>
      </c>
      <c r="F49" s="252" t="s">
        <v>134</v>
      </c>
      <c r="G49" s="234">
        <f t="shared" si="6"/>
        <v>1742</v>
      </c>
      <c r="H49" s="311">
        <v>1742</v>
      </c>
      <c r="I49" s="252" t="s">
        <v>134</v>
      </c>
      <c r="J49" s="234">
        <f t="shared" si="7"/>
        <v>611.592</v>
      </c>
      <c r="K49" s="311">
        <v>611.592</v>
      </c>
      <c r="L49" s="252" t="s">
        <v>134</v>
      </c>
    </row>
    <row r="50" spans="1:12" ht="12.75">
      <c r="A50" s="59">
        <v>4235</v>
      </c>
      <c r="B50" s="256" t="s">
        <v>458</v>
      </c>
      <c r="C50" s="249">
        <v>4235</v>
      </c>
      <c r="D50" s="234">
        <f t="shared" si="5"/>
        <v>0</v>
      </c>
      <c r="E50" s="311"/>
      <c r="F50" s="252" t="s">
        <v>134</v>
      </c>
      <c r="G50" s="234">
        <f t="shared" si="6"/>
        <v>0</v>
      </c>
      <c r="H50" s="311"/>
      <c r="I50" s="252" t="s">
        <v>134</v>
      </c>
      <c r="J50" s="234">
        <f t="shared" si="7"/>
        <v>0</v>
      </c>
      <c r="K50" s="311"/>
      <c r="L50" s="252" t="s">
        <v>134</v>
      </c>
    </row>
    <row r="51" spans="1:12" ht="12.75">
      <c r="A51" s="59">
        <v>4236</v>
      </c>
      <c r="B51" s="253" t="s">
        <v>459</v>
      </c>
      <c r="C51" s="254" t="s">
        <v>460</v>
      </c>
      <c r="D51" s="234">
        <f t="shared" si="5"/>
        <v>0</v>
      </c>
      <c r="E51" s="311"/>
      <c r="F51" s="252" t="s">
        <v>134</v>
      </c>
      <c r="G51" s="234">
        <f t="shared" si="6"/>
        <v>0</v>
      </c>
      <c r="H51" s="311"/>
      <c r="I51" s="252" t="s">
        <v>134</v>
      </c>
      <c r="J51" s="234">
        <f t="shared" si="7"/>
        <v>0</v>
      </c>
      <c r="K51" s="311"/>
      <c r="L51" s="252" t="s">
        <v>134</v>
      </c>
    </row>
    <row r="52" spans="1:12" ht="12.75">
      <c r="A52" s="59">
        <v>4237</v>
      </c>
      <c r="B52" s="253" t="s">
        <v>461</v>
      </c>
      <c r="C52" s="254" t="s">
        <v>462</v>
      </c>
      <c r="D52" s="234">
        <f t="shared" si="5"/>
        <v>5000</v>
      </c>
      <c r="E52" s="311">
        <f>5000</f>
        <v>5000</v>
      </c>
      <c r="F52" s="252" t="s">
        <v>134</v>
      </c>
      <c r="G52" s="234">
        <f t="shared" si="6"/>
        <v>4400</v>
      </c>
      <c r="H52" s="311">
        <v>4400</v>
      </c>
      <c r="I52" s="252" t="s">
        <v>134</v>
      </c>
      <c r="J52" s="234">
        <f t="shared" si="7"/>
        <v>1395.1</v>
      </c>
      <c r="K52" s="311">
        <v>1395.1</v>
      </c>
      <c r="L52" s="252" t="s">
        <v>134</v>
      </c>
    </row>
    <row r="53" spans="1:12" ht="12.75">
      <c r="A53" s="59">
        <v>4238</v>
      </c>
      <c r="B53" s="253" t="s">
        <v>463</v>
      </c>
      <c r="C53" s="254" t="s">
        <v>464</v>
      </c>
      <c r="D53" s="234">
        <f t="shared" si="5"/>
        <v>0</v>
      </c>
      <c r="E53" s="311"/>
      <c r="F53" s="252" t="s">
        <v>134</v>
      </c>
      <c r="G53" s="234">
        <f t="shared" si="6"/>
        <v>0</v>
      </c>
      <c r="H53" s="311"/>
      <c r="I53" s="252" t="s">
        <v>134</v>
      </c>
      <c r="J53" s="234">
        <f t="shared" si="7"/>
        <v>0</v>
      </c>
      <c r="K53" s="311"/>
      <c r="L53" s="252" t="s">
        <v>134</v>
      </c>
    </row>
    <row r="54" spans="1:12" ht="21">
      <c r="A54" s="59">
        <v>4240</v>
      </c>
      <c r="B54" s="255" t="s">
        <v>465</v>
      </c>
      <c r="C54" s="250" t="s">
        <v>345</v>
      </c>
      <c r="D54" s="311">
        <f>SUM(D56)</f>
        <v>500</v>
      </c>
      <c r="E54" s="311">
        <f>SUM(E56)</f>
        <v>500</v>
      </c>
      <c r="F54" s="252" t="s">
        <v>134</v>
      </c>
      <c r="G54" s="311">
        <f>SUM(G56)</f>
        <v>3500</v>
      </c>
      <c r="H54" s="311">
        <f>SUM(H56)</f>
        <v>3500</v>
      </c>
      <c r="I54" s="252" t="s">
        <v>134</v>
      </c>
      <c r="J54" s="311">
        <f>SUM(J56)</f>
        <v>2218.85</v>
      </c>
      <c r="K54" s="311">
        <f>SUM(K56)</f>
        <v>2218.85</v>
      </c>
      <c r="L54" s="252" t="s">
        <v>134</v>
      </c>
    </row>
    <row r="55" spans="1:12" ht="12.75">
      <c r="A55" s="59"/>
      <c r="B55" s="248" t="s">
        <v>139</v>
      </c>
      <c r="C55" s="250"/>
      <c r="D55" s="311"/>
      <c r="E55" s="311"/>
      <c r="F55" s="252"/>
      <c r="G55" s="311"/>
      <c r="H55" s="311"/>
      <c r="I55" s="252"/>
      <c r="J55" s="311"/>
      <c r="K55" s="311"/>
      <c r="L55" s="252"/>
    </row>
    <row r="56" spans="1:12" ht="12.75">
      <c r="A56" s="59">
        <v>4241</v>
      </c>
      <c r="B56" s="253" t="s">
        <v>466</v>
      </c>
      <c r="C56" s="254" t="s">
        <v>467</v>
      </c>
      <c r="D56" s="234">
        <f>SUM(E56:F56)</f>
        <v>500</v>
      </c>
      <c r="E56" s="311">
        <f>500</f>
        <v>500</v>
      </c>
      <c r="F56" s="252" t="s">
        <v>134</v>
      </c>
      <c r="G56" s="234">
        <f>SUM(H56:I56)</f>
        <v>3500</v>
      </c>
      <c r="H56" s="311">
        <f>500+3000</f>
        <v>3500</v>
      </c>
      <c r="I56" s="252" t="s">
        <v>134</v>
      </c>
      <c r="J56" s="234">
        <f>SUM(K56:L56)</f>
        <v>2218.85</v>
      </c>
      <c r="K56" s="311">
        <v>2218.85</v>
      </c>
      <c r="L56" s="252" t="s">
        <v>134</v>
      </c>
    </row>
    <row r="57" spans="1:12" ht="28.5" customHeight="1">
      <c r="A57" s="59">
        <v>4250</v>
      </c>
      <c r="B57" s="255" t="s">
        <v>468</v>
      </c>
      <c r="C57" s="250" t="s">
        <v>345</v>
      </c>
      <c r="D57" s="311">
        <f>SUM(D59:D60)</f>
        <v>2378</v>
      </c>
      <c r="E57" s="311">
        <f>SUM(E59:E60)</f>
        <v>2378</v>
      </c>
      <c r="F57" s="252" t="s">
        <v>134</v>
      </c>
      <c r="G57" s="311">
        <f>SUM(G59:G60)</f>
        <v>2378</v>
      </c>
      <c r="H57" s="311">
        <f>SUM(H59:H60)</f>
        <v>2378</v>
      </c>
      <c r="I57" s="252" t="s">
        <v>134</v>
      </c>
      <c r="J57" s="311">
        <f>SUM(J59:J60)</f>
        <v>1953</v>
      </c>
      <c r="K57" s="311">
        <f>SUM(K59:K60)</f>
        <v>1953</v>
      </c>
      <c r="L57" s="252" t="s">
        <v>134</v>
      </c>
    </row>
    <row r="58" spans="1:12" ht="12.75">
      <c r="A58" s="59"/>
      <c r="B58" s="248" t="s">
        <v>139</v>
      </c>
      <c r="C58" s="250"/>
      <c r="D58" s="311"/>
      <c r="E58" s="311"/>
      <c r="F58" s="252"/>
      <c r="G58" s="311"/>
      <c r="H58" s="311"/>
      <c r="I58" s="252"/>
      <c r="J58" s="311"/>
      <c r="K58" s="311"/>
      <c r="L58" s="252"/>
    </row>
    <row r="59" spans="1:12" ht="21">
      <c r="A59" s="59">
        <v>4251</v>
      </c>
      <c r="B59" s="253" t="s">
        <v>469</v>
      </c>
      <c r="C59" s="254" t="s">
        <v>470</v>
      </c>
      <c r="D59" s="234">
        <f>SUM(E59:F59)</f>
        <v>0</v>
      </c>
      <c r="E59" s="311"/>
      <c r="F59" s="252" t="s">
        <v>134</v>
      </c>
      <c r="G59" s="234">
        <f>SUM(H59:I59)</f>
        <v>0</v>
      </c>
      <c r="H59" s="311"/>
      <c r="I59" s="252" t="s">
        <v>134</v>
      </c>
      <c r="J59" s="234">
        <f>SUM(K59:L59)</f>
        <v>0</v>
      </c>
      <c r="K59" s="311"/>
      <c r="L59" s="252" t="s">
        <v>134</v>
      </c>
    </row>
    <row r="60" spans="1:12" ht="21">
      <c r="A60" s="59">
        <v>4252</v>
      </c>
      <c r="B60" s="253" t="s">
        <v>471</v>
      </c>
      <c r="C60" s="254" t="s">
        <v>472</v>
      </c>
      <c r="D60" s="234">
        <f>SUM(E60:F60)</f>
        <v>2378</v>
      </c>
      <c r="E60" s="311">
        <f>2378</f>
        <v>2378</v>
      </c>
      <c r="F60" s="252" t="s">
        <v>134</v>
      </c>
      <c r="G60" s="234">
        <f>SUM(H60:I60)</f>
        <v>2378</v>
      </c>
      <c r="H60" s="311">
        <f>2378</f>
        <v>2378</v>
      </c>
      <c r="I60" s="252" t="s">
        <v>134</v>
      </c>
      <c r="J60" s="234">
        <f>SUM(K60:L60)</f>
        <v>1953</v>
      </c>
      <c r="K60" s="311">
        <v>1953</v>
      </c>
      <c r="L60" s="252" t="s">
        <v>134</v>
      </c>
    </row>
    <row r="61" spans="1:12" ht="31.5">
      <c r="A61" s="59">
        <v>4260</v>
      </c>
      <c r="B61" s="255" t="s">
        <v>473</v>
      </c>
      <c r="C61" s="250" t="s">
        <v>345</v>
      </c>
      <c r="D61" s="311">
        <f>SUM(D63:D70)</f>
        <v>24255</v>
      </c>
      <c r="E61" s="311">
        <f>SUM(E63:E70)</f>
        <v>24255</v>
      </c>
      <c r="F61" s="252" t="s">
        <v>134</v>
      </c>
      <c r="G61" s="311">
        <f>SUM(G63:G70)</f>
        <v>27165.721</v>
      </c>
      <c r="H61" s="311">
        <f>SUM(H63:H70)</f>
        <v>27165.721</v>
      </c>
      <c r="I61" s="252" t="s">
        <v>134</v>
      </c>
      <c r="J61" s="311">
        <f>SUM(J63:J70)</f>
        <v>18806.874</v>
      </c>
      <c r="K61" s="311">
        <f>SUM(K63:K70)</f>
        <v>18806.874</v>
      </c>
      <c r="L61" s="252" t="s">
        <v>134</v>
      </c>
    </row>
    <row r="62" spans="1:12" ht="12.75">
      <c r="A62" s="59"/>
      <c r="B62" s="248" t="s">
        <v>139</v>
      </c>
      <c r="C62" s="250"/>
      <c r="D62" s="311"/>
      <c r="E62" s="311"/>
      <c r="F62" s="252"/>
      <c r="G62" s="311"/>
      <c r="H62" s="311"/>
      <c r="I62" s="252"/>
      <c r="J62" s="311"/>
      <c r="K62" s="311"/>
      <c r="L62" s="252"/>
    </row>
    <row r="63" spans="1:12" ht="12.75">
      <c r="A63" s="59">
        <v>4261</v>
      </c>
      <c r="B63" s="253" t="s">
        <v>474</v>
      </c>
      <c r="C63" s="254" t="s">
        <v>475</v>
      </c>
      <c r="D63" s="234">
        <f aca="true" t="shared" si="8" ref="D63:D70">SUM(E63:F63)</f>
        <v>990</v>
      </c>
      <c r="E63" s="311">
        <f>990</f>
        <v>990</v>
      </c>
      <c r="F63" s="252" t="s">
        <v>134</v>
      </c>
      <c r="G63" s="234">
        <f aca="true" t="shared" si="9" ref="G63:G70">SUM(H63:I63)</f>
        <v>1940</v>
      </c>
      <c r="H63" s="311">
        <f>990+950</f>
        <v>1940</v>
      </c>
      <c r="I63" s="252" t="s">
        <v>134</v>
      </c>
      <c r="J63" s="234">
        <f aca="true" t="shared" si="10" ref="J63:J70">SUM(K63:L63)</f>
        <v>1558.35</v>
      </c>
      <c r="K63" s="311">
        <v>1558.35</v>
      </c>
      <c r="L63" s="252" t="s">
        <v>134</v>
      </c>
    </row>
    <row r="64" spans="1:12" ht="12.75">
      <c r="A64" s="59">
        <v>4262</v>
      </c>
      <c r="B64" s="253" t="s">
        <v>476</v>
      </c>
      <c r="C64" s="254" t="s">
        <v>477</v>
      </c>
      <c r="D64" s="234">
        <f t="shared" si="8"/>
        <v>0</v>
      </c>
      <c r="E64" s="311"/>
      <c r="F64" s="252" t="s">
        <v>134</v>
      </c>
      <c r="G64" s="234">
        <f t="shared" si="9"/>
        <v>0</v>
      </c>
      <c r="H64" s="311"/>
      <c r="I64" s="252" t="s">
        <v>134</v>
      </c>
      <c r="J64" s="234">
        <f t="shared" si="10"/>
        <v>0</v>
      </c>
      <c r="K64" s="311"/>
      <c r="L64" s="252" t="s">
        <v>134</v>
      </c>
    </row>
    <row r="65" spans="1:12" ht="21">
      <c r="A65" s="59">
        <v>4263</v>
      </c>
      <c r="B65" s="253" t="s">
        <v>478</v>
      </c>
      <c r="C65" s="254" t="s">
        <v>479</v>
      </c>
      <c r="D65" s="234">
        <f t="shared" si="8"/>
        <v>0</v>
      </c>
      <c r="E65" s="311"/>
      <c r="F65" s="252" t="s">
        <v>134</v>
      </c>
      <c r="G65" s="234">
        <f t="shared" si="9"/>
        <v>0</v>
      </c>
      <c r="H65" s="311"/>
      <c r="I65" s="252" t="s">
        <v>134</v>
      </c>
      <c r="J65" s="234">
        <f t="shared" si="10"/>
        <v>0</v>
      </c>
      <c r="K65" s="311"/>
      <c r="L65" s="252" t="s">
        <v>134</v>
      </c>
    </row>
    <row r="66" spans="1:12" ht="12.75">
      <c r="A66" s="59">
        <v>4264</v>
      </c>
      <c r="B66" s="253" t="s">
        <v>480</v>
      </c>
      <c r="C66" s="254" t="s">
        <v>481</v>
      </c>
      <c r="D66" s="234">
        <f t="shared" si="8"/>
        <v>17655</v>
      </c>
      <c r="E66" s="311">
        <f>17655</f>
        <v>17655</v>
      </c>
      <c r="F66" s="252" t="s">
        <v>134</v>
      </c>
      <c r="G66" s="234">
        <f t="shared" si="9"/>
        <v>17735.721</v>
      </c>
      <c r="H66" s="311">
        <v>17735.721</v>
      </c>
      <c r="I66" s="252" t="s">
        <v>134</v>
      </c>
      <c r="J66" s="234">
        <f t="shared" si="10"/>
        <v>11741.574</v>
      </c>
      <c r="K66" s="311">
        <v>11741.574</v>
      </c>
      <c r="L66" s="252" t="s">
        <v>134</v>
      </c>
    </row>
    <row r="67" spans="1:12" ht="21">
      <c r="A67" s="59">
        <v>4265</v>
      </c>
      <c r="B67" s="257" t="s">
        <v>482</v>
      </c>
      <c r="C67" s="254" t="s">
        <v>483</v>
      </c>
      <c r="D67" s="234">
        <f t="shared" si="8"/>
        <v>0</v>
      </c>
      <c r="E67" s="311"/>
      <c r="F67" s="252" t="s">
        <v>134</v>
      </c>
      <c r="G67" s="234">
        <f t="shared" si="9"/>
        <v>0</v>
      </c>
      <c r="H67" s="311"/>
      <c r="I67" s="252" t="s">
        <v>134</v>
      </c>
      <c r="J67" s="234">
        <f t="shared" si="10"/>
        <v>0</v>
      </c>
      <c r="K67" s="311"/>
      <c r="L67" s="252" t="s">
        <v>134</v>
      </c>
    </row>
    <row r="68" spans="1:12" ht="12.75">
      <c r="A68" s="59">
        <v>4266</v>
      </c>
      <c r="B68" s="253" t="s">
        <v>484</v>
      </c>
      <c r="C68" s="254" t="s">
        <v>485</v>
      </c>
      <c r="D68" s="234">
        <f t="shared" si="8"/>
        <v>0</v>
      </c>
      <c r="E68" s="311"/>
      <c r="F68" s="252" t="s">
        <v>134</v>
      </c>
      <c r="G68" s="234">
        <f t="shared" si="9"/>
        <v>0</v>
      </c>
      <c r="H68" s="311"/>
      <c r="I68" s="252" t="s">
        <v>134</v>
      </c>
      <c r="J68" s="234">
        <f t="shared" si="10"/>
        <v>0</v>
      </c>
      <c r="K68" s="311"/>
      <c r="L68" s="252" t="s">
        <v>134</v>
      </c>
    </row>
    <row r="69" spans="1:12" ht="12.75">
      <c r="A69" s="59">
        <v>4267</v>
      </c>
      <c r="B69" s="253" t="s">
        <v>486</v>
      </c>
      <c r="C69" s="254" t="s">
        <v>487</v>
      </c>
      <c r="D69" s="234">
        <f t="shared" si="8"/>
        <v>1912</v>
      </c>
      <c r="E69" s="311">
        <f>1912</f>
        <v>1912</v>
      </c>
      <c r="F69" s="252" t="s">
        <v>134</v>
      </c>
      <c r="G69" s="234">
        <f t="shared" si="9"/>
        <v>2892</v>
      </c>
      <c r="H69" s="311">
        <f>1912+980</f>
        <v>2892</v>
      </c>
      <c r="I69" s="252" t="s">
        <v>134</v>
      </c>
      <c r="J69" s="234">
        <f t="shared" si="10"/>
        <v>1663.85</v>
      </c>
      <c r="K69" s="311">
        <v>1663.85</v>
      </c>
      <c r="L69" s="252" t="s">
        <v>134</v>
      </c>
    </row>
    <row r="70" spans="1:12" ht="12.75">
      <c r="A70" s="59">
        <v>4268</v>
      </c>
      <c r="B70" s="253" t="s">
        <v>488</v>
      </c>
      <c r="C70" s="254" t="s">
        <v>489</v>
      </c>
      <c r="D70" s="234">
        <f t="shared" si="8"/>
        <v>3698</v>
      </c>
      <c r="E70" s="311">
        <f>3698</f>
        <v>3698</v>
      </c>
      <c r="F70" s="252" t="s">
        <v>134</v>
      </c>
      <c r="G70" s="234">
        <f t="shared" si="9"/>
        <v>4598</v>
      </c>
      <c r="H70" s="311">
        <v>4598</v>
      </c>
      <c r="I70" s="252" t="s">
        <v>134</v>
      </c>
      <c r="J70" s="234">
        <f t="shared" si="10"/>
        <v>3843.1</v>
      </c>
      <c r="K70" s="311">
        <v>3843.1</v>
      </c>
      <c r="L70" s="252" t="s">
        <v>134</v>
      </c>
    </row>
    <row r="71" spans="1:12" ht="11.25" customHeight="1">
      <c r="A71" s="59">
        <v>4300</v>
      </c>
      <c r="B71" s="255" t="s">
        <v>393</v>
      </c>
      <c r="C71" s="250" t="s">
        <v>345</v>
      </c>
      <c r="D71" s="311">
        <f>SUM(D73,D77,D81)</f>
        <v>0</v>
      </c>
      <c r="E71" s="311">
        <f>SUM(E73,E77,E81)</f>
        <v>0</v>
      </c>
      <c r="F71" s="252" t="s">
        <v>134</v>
      </c>
      <c r="G71" s="311">
        <f>SUM(G73,G77,G81)</f>
        <v>0</v>
      </c>
      <c r="H71" s="311">
        <f>SUM(H73,H77,H81)</f>
        <v>0</v>
      </c>
      <c r="I71" s="252" t="s">
        <v>134</v>
      </c>
      <c r="J71" s="311">
        <f>SUM(J73,J77,J81)</f>
        <v>0</v>
      </c>
      <c r="K71" s="311">
        <f>SUM(K73,K77,K81)</f>
        <v>0</v>
      </c>
      <c r="L71" s="252" t="s">
        <v>134</v>
      </c>
    </row>
    <row r="72" spans="1:12" ht="12.75">
      <c r="A72" s="59"/>
      <c r="B72" s="248" t="s">
        <v>344</v>
      </c>
      <c r="C72" s="246"/>
      <c r="D72" s="311"/>
      <c r="E72" s="311"/>
      <c r="F72" s="311"/>
      <c r="G72" s="311"/>
      <c r="H72" s="311"/>
      <c r="I72" s="311"/>
      <c r="J72" s="311"/>
      <c r="K72" s="311"/>
      <c r="L72" s="311"/>
    </row>
    <row r="73" spans="1:12" ht="12.75">
      <c r="A73" s="59">
        <v>4310</v>
      </c>
      <c r="B73" s="255" t="s">
        <v>490</v>
      </c>
      <c r="C73" s="250" t="s">
        <v>345</v>
      </c>
      <c r="D73" s="311">
        <f>SUM(D75:D76)</f>
        <v>0</v>
      </c>
      <c r="E73" s="311">
        <f>SUM(E75:E76)</f>
        <v>0</v>
      </c>
      <c r="F73" s="311" t="s">
        <v>29</v>
      </c>
      <c r="G73" s="311">
        <f>SUM(G75:G76)</f>
        <v>0</v>
      </c>
      <c r="H73" s="311">
        <f>SUM(H75:H76)</f>
        <v>0</v>
      </c>
      <c r="I73" s="311" t="s">
        <v>29</v>
      </c>
      <c r="J73" s="311">
        <f>SUM(J75:J76)</f>
        <v>0</v>
      </c>
      <c r="K73" s="311">
        <f>SUM(K75:K76)</f>
        <v>0</v>
      </c>
      <c r="L73" s="311" t="s">
        <v>29</v>
      </c>
    </row>
    <row r="74" spans="1:12" ht="12.75">
      <c r="A74" s="59"/>
      <c r="B74" s="248" t="s">
        <v>139</v>
      </c>
      <c r="C74" s="250"/>
      <c r="D74" s="311"/>
      <c r="E74" s="311"/>
      <c r="F74" s="252"/>
      <c r="G74" s="311"/>
      <c r="H74" s="311"/>
      <c r="I74" s="252"/>
      <c r="J74" s="311"/>
      <c r="K74" s="311"/>
      <c r="L74" s="252"/>
    </row>
    <row r="75" spans="1:12" ht="12.75">
      <c r="A75" s="59">
        <v>4311</v>
      </c>
      <c r="B75" s="253" t="s">
        <v>491</v>
      </c>
      <c r="C75" s="254" t="s">
        <v>492</v>
      </c>
      <c r="D75" s="234">
        <f>SUM(E75:F75)</f>
        <v>0</v>
      </c>
      <c r="E75" s="311"/>
      <c r="F75" s="252" t="s">
        <v>134</v>
      </c>
      <c r="G75" s="234">
        <f>SUM(H75:I75)</f>
        <v>0</v>
      </c>
      <c r="H75" s="311"/>
      <c r="I75" s="252" t="s">
        <v>134</v>
      </c>
      <c r="J75" s="234">
        <f>SUM(K75:L75)</f>
        <v>0</v>
      </c>
      <c r="K75" s="311"/>
      <c r="L75" s="252" t="s">
        <v>134</v>
      </c>
    </row>
    <row r="76" spans="1:12" ht="12.75">
      <c r="A76" s="59">
        <v>4312</v>
      </c>
      <c r="B76" s="253" t="s">
        <v>493</v>
      </c>
      <c r="C76" s="254" t="s">
        <v>494</v>
      </c>
      <c r="D76" s="234">
        <f>SUM(E76:F76)</f>
        <v>0</v>
      </c>
      <c r="E76" s="311"/>
      <c r="F76" s="252" t="s">
        <v>134</v>
      </c>
      <c r="G76" s="234">
        <f>SUM(H76:I76)</f>
        <v>0</v>
      </c>
      <c r="H76" s="311"/>
      <c r="I76" s="252" t="s">
        <v>134</v>
      </c>
      <c r="J76" s="234">
        <f>SUM(K76:L76)</f>
        <v>0</v>
      </c>
      <c r="K76" s="311"/>
      <c r="L76" s="252" t="s">
        <v>134</v>
      </c>
    </row>
    <row r="77" spans="1:12" ht="12.75">
      <c r="A77" s="59">
        <v>4320</v>
      </c>
      <c r="B77" s="255" t="s">
        <v>394</v>
      </c>
      <c r="C77" s="250" t="s">
        <v>345</v>
      </c>
      <c r="D77" s="311">
        <f>SUM(D79:D80)</f>
        <v>0</v>
      </c>
      <c r="E77" s="311">
        <f>SUM(E79:E80)</f>
        <v>0</v>
      </c>
      <c r="F77" s="311" t="s">
        <v>29</v>
      </c>
      <c r="G77" s="311">
        <f>SUM(G79:G80)</f>
        <v>0</v>
      </c>
      <c r="H77" s="311">
        <f>SUM(H79:H80)</f>
        <v>0</v>
      </c>
      <c r="I77" s="311" t="s">
        <v>29</v>
      </c>
      <c r="J77" s="311">
        <f>SUM(J79:J80)</f>
        <v>0</v>
      </c>
      <c r="K77" s="311">
        <f>SUM(K79:K80)</f>
        <v>0</v>
      </c>
      <c r="L77" s="311" t="s">
        <v>29</v>
      </c>
    </row>
    <row r="78" spans="1:12" ht="12.75">
      <c r="A78" s="59"/>
      <c r="B78" s="248" t="s">
        <v>139</v>
      </c>
      <c r="C78" s="250"/>
      <c r="D78" s="311"/>
      <c r="E78" s="311"/>
      <c r="F78" s="252"/>
      <c r="G78" s="311"/>
      <c r="H78" s="311"/>
      <c r="I78" s="252"/>
      <c r="J78" s="311"/>
      <c r="K78" s="311"/>
      <c r="L78" s="252"/>
    </row>
    <row r="79" spans="1:12" ht="15.75" customHeight="1">
      <c r="A79" s="59">
        <v>4321</v>
      </c>
      <c r="B79" s="253" t="s">
        <v>495</v>
      </c>
      <c r="C79" s="254" t="s">
        <v>496</v>
      </c>
      <c r="D79" s="234">
        <f>SUM(E79:F79)</f>
        <v>0</v>
      </c>
      <c r="E79" s="311"/>
      <c r="F79" s="252" t="s">
        <v>134</v>
      </c>
      <c r="G79" s="234">
        <f>SUM(H79:I79)</f>
        <v>0</v>
      </c>
      <c r="H79" s="311"/>
      <c r="I79" s="252" t="s">
        <v>134</v>
      </c>
      <c r="J79" s="234">
        <f>SUM(K79:L79)</f>
        <v>0</v>
      </c>
      <c r="K79" s="311"/>
      <c r="L79" s="252" t="s">
        <v>134</v>
      </c>
    </row>
    <row r="80" spans="1:12" ht="12.75">
      <c r="A80" s="59">
        <v>4322</v>
      </c>
      <c r="B80" s="253" t="s">
        <v>497</v>
      </c>
      <c r="C80" s="254" t="s">
        <v>498</v>
      </c>
      <c r="D80" s="234">
        <f>SUM(E80:F80)</f>
        <v>0</v>
      </c>
      <c r="E80" s="311"/>
      <c r="F80" s="252" t="s">
        <v>134</v>
      </c>
      <c r="G80" s="234">
        <f>SUM(H80:I80)</f>
        <v>0</v>
      </c>
      <c r="H80" s="311"/>
      <c r="I80" s="252" t="s">
        <v>134</v>
      </c>
      <c r="J80" s="234">
        <f>SUM(K80:L80)</f>
        <v>0</v>
      </c>
      <c r="K80" s="311"/>
      <c r="L80" s="252" t="s">
        <v>134</v>
      </c>
    </row>
    <row r="81" spans="1:12" ht="21">
      <c r="A81" s="59">
        <v>4330</v>
      </c>
      <c r="B81" s="255" t="s">
        <v>499</v>
      </c>
      <c r="C81" s="250" t="s">
        <v>345</v>
      </c>
      <c r="D81" s="311">
        <f>SUM(D83:D85)</f>
        <v>0</v>
      </c>
      <c r="E81" s="311">
        <f>SUM(E83:E85)</f>
        <v>0</v>
      </c>
      <c r="F81" s="252" t="s">
        <v>134</v>
      </c>
      <c r="G81" s="311">
        <f>SUM(G83:G85)</f>
        <v>0</v>
      </c>
      <c r="H81" s="311">
        <f>SUM(H83:H85)</f>
        <v>0</v>
      </c>
      <c r="I81" s="252" t="s">
        <v>134</v>
      </c>
      <c r="J81" s="311">
        <f>SUM(J83:J85)</f>
        <v>0</v>
      </c>
      <c r="K81" s="311">
        <f>SUM(K83:K85)</f>
        <v>0</v>
      </c>
      <c r="L81" s="252" t="s">
        <v>134</v>
      </c>
    </row>
    <row r="82" spans="1:12" ht="12.75">
      <c r="A82" s="59"/>
      <c r="B82" s="248" t="s">
        <v>139</v>
      </c>
      <c r="C82" s="250"/>
      <c r="D82" s="311"/>
      <c r="E82" s="311"/>
      <c r="F82" s="252"/>
      <c r="G82" s="311"/>
      <c r="H82" s="311"/>
      <c r="I82" s="252"/>
      <c r="J82" s="311"/>
      <c r="K82" s="311"/>
      <c r="L82" s="252"/>
    </row>
    <row r="83" spans="1:12" ht="12.75">
      <c r="A83" s="59">
        <v>4331</v>
      </c>
      <c r="B83" s="253" t="s">
        <v>500</v>
      </c>
      <c r="C83" s="254" t="s">
        <v>501</v>
      </c>
      <c r="D83" s="234">
        <f>SUM(E83:F83)</f>
        <v>0</v>
      </c>
      <c r="E83" s="311"/>
      <c r="F83" s="252" t="s">
        <v>134</v>
      </c>
      <c r="G83" s="234">
        <f>SUM(H83:I83)</f>
        <v>0</v>
      </c>
      <c r="H83" s="311"/>
      <c r="I83" s="252" t="s">
        <v>134</v>
      </c>
      <c r="J83" s="234">
        <f>SUM(K83:L83)</f>
        <v>0</v>
      </c>
      <c r="K83" s="311"/>
      <c r="L83" s="252" t="s">
        <v>134</v>
      </c>
    </row>
    <row r="84" spans="1:12" ht="12.75">
      <c r="A84" s="59">
        <v>4332</v>
      </c>
      <c r="B84" s="253" t="s">
        <v>502</v>
      </c>
      <c r="C84" s="254" t="s">
        <v>503</v>
      </c>
      <c r="D84" s="234">
        <f>SUM(E84:F84)</f>
        <v>0</v>
      </c>
      <c r="E84" s="311"/>
      <c r="F84" s="252" t="s">
        <v>134</v>
      </c>
      <c r="G84" s="234">
        <f>SUM(H84:I84)</f>
        <v>0</v>
      </c>
      <c r="H84" s="311"/>
      <c r="I84" s="252" t="s">
        <v>134</v>
      </c>
      <c r="J84" s="234">
        <f>SUM(K84:L84)</f>
        <v>0</v>
      </c>
      <c r="K84" s="311"/>
      <c r="L84" s="252" t="s">
        <v>134</v>
      </c>
    </row>
    <row r="85" spans="1:12" ht="12.75">
      <c r="A85" s="59">
        <v>4333</v>
      </c>
      <c r="B85" s="253" t="s">
        <v>504</v>
      </c>
      <c r="C85" s="254" t="s">
        <v>505</v>
      </c>
      <c r="D85" s="234">
        <f>SUM(E85:F85)</f>
        <v>0</v>
      </c>
      <c r="E85" s="311"/>
      <c r="F85" s="252" t="s">
        <v>134</v>
      </c>
      <c r="G85" s="234">
        <f>SUM(H85:I85)</f>
        <v>0</v>
      </c>
      <c r="H85" s="311"/>
      <c r="I85" s="252" t="s">
        <v>134</v>
      </c>
      <c r="J85" s="234">
        <f>SUM(K85:L85)</f>
        <v>0</v>
      </c>
      <c r="K85" s="311"/>
      <c r="L85" s="252" t="s">
        <v>134</v>
      </c>
    </row>
    <row r="86" spans="1:12" ht="12.75">
      <c r="A86" s="59">
        <v>4400</v>
      </c>
      <c r="B86" s="253" t="s">
        <v>395</v>
      </c>
      <c r="C86" s="250" t="s">
        <v>345</v>
      </c>
      <c r="D86" s="311">
        <f>SUM(D88,D92)</f>
        <v>472584.7</v>
      </c>
      <c r="E86" s="311">
        <f>SUM(E88,E92)</f>
        <v>472584.7</v>
      </c>
      <c r="F86" s="252" t="s">
        <v>134</v>
      </c>
      <c r="G86" s="311">
        <f>SUM(G88,G92)</f>
        <v>477083.542</v>
      </c>
      <c r="H86" s="311">
        <f>SUM(H88,H92)</f>
        <v>477083.542</v>
      </c>
      <c r="I86" s="252" t="s">
        <v>134</v>
      </c>
      <c r="J86" s="311">
        <f>SUM(J88,J92)</f>
        <v>298646.249</v>
      </c>
      <c r="K86" s="311">
        <f>SUM(K88,K92)</f>
        <v>298646.249</v>
      </c>
      <c r="L86" s="252" t="s">
        <v>134</v>
      </c>
    </row>
    <row r="87" spans="1:12" ht="12.75">
      <c r="A87" s="59"/>
      <c r="B87" s="248" t="s">
        <v>344</v>
      </c>
      <c r="C87" s="246"/>
      <c r="D87" s="311"/>
      <c r="E87" s="311"/>
      <c r="F87" s="311"/>
      <c r="G87" s="311"/>
      <c r="H87" s="311"/>
      <c r="I87" s="311"/>
      <c r="J87" s="311"/>
      <c r="K87" s="311"/>
      <c r="L87" s="311"/>
    </row>
    <row r="88" spans="1:12" ht="21">
      <c r="A88" s="59">
        <v>4410</v>
      </c>
      <c r="B88" s="255" t="s">
        <v>506</v>
      </c>
      <c r="C88" s="250" t="s">
        <v>345</v>
      </c>
      <c r="D88" s="311">
        <f>SUM(D90:D91)</f>
        <v>472584.7</v>
      </c>
      <c r="E88" s="311">
        <f>SUM(E90:E91)</f>
        <v>472584.7</v>
      </c>
      <c r="F88" s="311" t="s">
        <v>29</v>
      </c>
      <c r="G88" s="311">
        <f>SUM(G90:G91)</f>
        <v>477083.542</v>
      </c>
      <c r="H88" s="311">
        <f>SUM(H90:H91)</f>
        <v>477083.542</v>
      </c>
      <c r="I88" s="311" t="s">
        <v>29</v>
      </c>
      <c r="J88" s="311">
        <f>SUM(J90:J91)</f>
        <v>298646.249</v>
      </c>
      <c r="K88" s="311">
        <f>SUM(K90:K91)</f>
        <v>298646.249</v>
      </c>
      <c r="L88" s="311" t="s">
        <v>29</v>
      </c>
    </row>
    <row r="89" spans="1:12" ht="12.75">
      <c r="A89" s="59"/>
      <c r="B89" s="248" t="s">
        <v>139</v>
      </c>
      <c r="C89" s="250"/>
      <c r="D89" s="311"/>
      <c r="E89" s="311"/>
      <c r="F89" s="252"/>
      <c r="G89" s="311"/>
      <c r="H89" s="311"/>
      <c r="I89" s="252"/>
      <c r="J89" s="311"/>
      <c r="K89" s="311"/>
      <c r="L89" s="252"/>
    </row>
    <row r="90" spans="1:12" ht="21">
      <c r="A90" s="59">
        <v>4411</v>
      </c>
      <c r="B90" s="253" t="s">
        <v>507</v>
      </c>
      <c r="C90" s="254" t="s">
        <v>508</v>
      </c>
      <c r="D90" s="234">
        <f>SUM(E90:F90)</f>
        <v>472584.7</v>
      </c>
      <c r="E90" s="311">
        <f>472584.7</f>
        <v>472584.7</v>
      </c>
      <c r="F90" s="252" t="s">
        <v>134</v>
      </c>
      <c r="G90" s="234">
        <f>SUM(H90:I90)</f>
        <v>477083.542</v>
      </c>
      <c r="H90" s="311">
        <v>477083.542</v>
      </c>
      <c r="I90" s="252" t="s">
        <v>134</v>
      </c>
      <c r="J90" s="234">
        <f>SUM(K90:L90)</f>
        <v>298646.249</v>
      </c>
      <c r="K90" s="311">
        <v>298646.249</v>
      </c>
      <c r="L90" s="252" t="s">
        <v>134</v>
      </c>
    </row>
    <row r="91" spans="1:12" ht="21">
      <c r="A91" s="59">
        <v>4412</v>
      </c>
      <c r="B91" s="253" t="s">
        <v>509</v>
      </c>
      <c r="C91" s="254" t="s">
        <v>510</v>
      </c>
      <c r="D91" s="234">
        <f>SUM(E91:F91)</f>
        <v>0</v>
      </c>
      <c r="E91" s="311"/>
      <c r="F91" s="252" t="s">
        <v>134</v>
      </c>
      <c r="G91" s="234">
        <f>SUM(H91:I91)</f>
        <v>0</v>
      </c>
      <c r="H91" s="311"/>
      <c r="I91" s="252" t="s">
        <v>134</v>
      </c>
      <c r="J91" s="234">
        <f>SUM(K91:L91)</f>
        <v>0</v>
      </c>
      <c r="K91" s="311"/>
      <c r="L91" s="252" t="s">
        <v>134</v>
      </c>
    </row>
    <row r="92" spans="1:12" ht="21">
      <c r="A92" s="59">
        <v>4420</v>
      </c>
      <c r="B92" s="255" t="s">
        <v>396</v>
      </c>
      <c r="C92" s="250" t="s">
        <v>345</v>
      </c>
      <c r="D92" s="311">
        <f>SUM(D94:D95)</f>
        <v>0</v>
      </c>
      <c r="E92" s="311">
        <f>SUM(E94:E95)</f>
        <v>0</v>
      </c>
      <c r="F92" s="311" t="s">
        <v>29</v>
      </c>
      <c r="G92" s="311">
        <f>SUM(G94:G95)</f>
        <v>0</v>
      </c>
      <c r="H92" s="311">
        <f>SUM(H94:H95)</f>
        <v>0</v>
      </c>
      <c r="I92" s="311" t="s">
        <v>29</v>
      </c>
      <c r="J92" s="311">
        <f>SUM(J94:J95)</f>
        <v>0</v>
      </c>
      <c r="K92" s="311">
        <f>SUM(K94:K95)</f>
        <v>0</v>
      </c>
      <c r="L92" s="311" t="s">
        <v>29</v>
      </c>
    </row>
    <row r="93" spans="1:12" ht="12.75">
      <c r="A93" s="59"/>
      <c r="B93" s="248" t="s">
        <v>139</v>
      </c>
      <c r="C93" s="250"/>
      <c r="D93" s="311"/>
      <c r="E93" s="311"/>
      <c r="F93" s="252"/>
      <c r="G93" s="311"/>
      <c r="H93" s="311"/>
      <c r="I93" s="252"/>
      <c r="J93" s="311"/>
      <c r="K93" s="311"/>
      <c r="L93" s="252"/>
    </row>
    <row r="94" spans="1:12" ht="21">
      <c r="A94" s="59">
        <v>4421</v>
      </c>
      <c r="B94" s="253" t="s">
        <v>575</v>
      </c>
      <c r="C94" s="254" t="s">
        <v>511</v>
      </c>
      <c r="D94" s="234">
        <f>SUM(E94:F94)</f>
        <v>0</v>
      </c>
      <c r="E94" s="311"/>
      <c r="F94" s="252" t="s">
        <v>134</v>
      </c>
      <c r="G94" s="234">
        <f>SUM(H94:I94)</f>
        <v>0</v>
      </c>
      <c r="H94" s="311"/>
      <c r="I94" s="252" t="s">
        <v>134</v>
      </c>
      <c r="J94" s="234">
        <f>SUM(K94:L94)</f>
        <v>0</v>
      </c>
      <c r="K94" s="311"/>
      <c r="L94" s="252" t="s">
        <v>134</v>
      </c>
    </row>
    <row r="95" spans="1:12" ht="21">
      <c r="A95" s="59">
        <v>4422</v>
      </c>
      <c r="B95" s="253" t="s">
        <v>512</v>
      </c>
      <c r="C95" s="254" t="s">
        <v>513</v>
      </c>
      <c r="D95" s="234">
        <f>SUM(E95:F95)</f>
        <v>0</v>
      </c>
      <c r="E95" s="311"/>
      <c r="F95" s="252" t="s">
        <v>134</v>
      </c>
      <c r="G95" s="234">
        <f>SUM(H95:I95)</f>
        <v>0</v>
      </c>
      <c r="H95" s="311"/>
      <c r="I95" s="252" t="s">
        <v>134</v>
      </c>
      <c r="J95" s="234">
        <f>SUM(K95:L95)</f>
        <v>0</v>
      </c>
      <c r="K95" s="311"/>
      <c r="L95" s="252" t="s">
        <v>134</v>
      </c>
    </row>
    <row r="96" spans="1:12" ht="21">
      <c r="A96" s="59">
        <v>4500</v>
      </c>
      <c r="B96" s="257" t="s">
        <v>514</v>
      </c>
      <c r="C96" s="250" t="s">
        <v>345</v>
      </c>
      <c r="D96" s="311">
        <f>SUM(D98,D102,D106,D118)</f>
        <v>1871</v>
      </c>
      <c r="E96" s="311">
        <f>SUM(E98,E102,E106,E118)</f>
        <v>1871</v>
      </c>
      <c r="F96" s="252" t="s">
        <v>134</v>
      </c>
      <c r="G96" s="311">
        <f>SUM(G98,G102,G106,G118)</f>
        <v>7230.279</v>
      </c>
      <c r="H96" s="311">
        <f>SUM(H98,H102,H106,H118)</f>
        <v>7230.279</v>
      </c>
      <c r="I96" s="252" t="s">
        <v>134</v>
      </c>
      <c r="J96" s="311">
        <f>SUM(J98,J102,J106,J118)</f>
        <v>2517.7780000000002</v>
      </c>
      <c r="K96" s="311">
        <f>SUM(K98,K102,K106,K118)</f>
        <v>2517.7780000000002</v>
      </c>
      <c r="L96" s="252" t="s">
        <v>134</v>
      </c>
    </row>
    <row r="97" spans="1:12" ht="12.75">
      <c r="A97" s="59"/>
      <c r="B97" s="248" t="s">
        <v>344</v>
      </c>
      <c r="C97" s="246"/>
      <c r="D97" s="311"/>
      <c r="E97" s="311"/>
      <c r="F97" s="311"/>
      <c r="G97" s="311"/>
      <c r="H97" s="311"/>
      <c r="I97" s="311"/>
      <c r="J97" s="311"/>
      <c r="K97" s="311"/>
      <c r="L97" s="311"/>
    </row>
    <row r="98" spans="1:12" ht="21">
      <c r="A98" s="59">
        <v>4510</v>
      </c>
      <c r="B98" s="258" t="s">
        <v>515</v>
      </c>
      <c r="C98" s="250" t="s">
        <v>345</v>
      </c>
      <c r="D98" s="311">
        <f>SUM(D100:D101)</f>
        <v>0</v>
      </c>
      <c r="E98" s="311">
        <f>SUM(E100:E101)</f>
        <v>0</v>
      </c>
      <c r="F98" s="311" t="s">
        <v>29</v>
      </c>
      <c r="G98" s="311">
        <f>SUM(G100:G101)</f>
        <v>0</v>
      </c>
      <c r="H98" s="311">
        <f>SUM(H100:H101)</f>
        <v>0</v>
      </c>
      <c r="I98" s="311" t="s">
        <v>29</v>
      </c>
      <c r="J98" s="311">
        <f>SUM(J100:J101)</f>
        <v>0</v>
      </c>
      <c r="K98" s="311">
        <f>SUM(K100:K101)</f>
        <v>0</v>
      </c>
      <c r="L98" s="311" t="s">
        <v>29</v>
      </c>
    </row>
    <row r="99" spans="1:12" ht="12.75">
      <c r="A99" s="59"/>
      <c r="B99" s="248" t="s">
        <v>139</v>
      </c>
      <c r="C99" s="250"/>
      <c r="D99" s="311"/>
      <c r="E99" s="311"/>
      <c r="F99" s="252"/>
      <c r="G99" s="311"/>
      <c r="H99" s="311"/>
      <c r="I99" s="252"/>
      <c r="J99" s="311"/>
      <c r="K99" s="311"/>
      <c r="L99" s="252"/>
    </row>
    <row r="100" spans="1:12" ht="21">
      <c r="A100" s="59">
        <v>4511</v>
      </c>
      <c r="B100" s="259" t="s">
        <v>397</v>
      </c>
      <c r="C100" s="254" t="s">
        <v>516</v>
      </c>
      <c r="D100" s="234">
        <f>SUM(E100:F100)</f>
        <v>0</v>
      </c>
      <c r="E100" s="312"/>
      <c r="F100" s="252" t="s">
        <v>134</v>
      </c>
      <c r="G100" s="234">
        <f>SUM(H100:I100)</f>
        <v>0</v>
      </c>
      <c r="H100" s="312"/>
      <c r="I100" s="252" t="s">
        <v>134</v>
      </c>
      <c r="J100" s="234">
        <f>SUM(K100:L100)</f>
        <v>0</v>
      </c>
      <c r="K100" s="312"/>
      <c r="L100" s="252" t="s">
        <v>134</v>
      </c>
    </row>
    <row r="101" spans="1:12" ht="21">
      <c r="A101" s="59">
        <v>4512</v>
      </c>
      <c r="B101" s="253" t="s">
        <v>517</v>
      </c>
      <c r="C101" s="254" t="s">
        <v>518</v>
      </c>
      <c r="D101" s="234">
        <f>SUM(E101:F101)</f>
        <v>0</v>
      </c>
      <c r="E101" s="312"/>
      <c r="F101" s="252" t="s">
        <v>134</v>
      </c>
      <c r="G101" s="234">
        <f>SUM(H101:I101)</f>
        <v>0</v>
      </c>
      <c r="H101" s="312"/>
      <c r="I101" s="252" t="s">
        <v>134</v>
      </c>
      <c r="J101" s="234">
        <f>SUM(K101:L101)</f>
        <v>0</v>
      </c>
      <c r="K101" s="312"/>
      <c r="L101" s="252" t="s">
        <v>134</v>
      </c>
    </row>
    <row r="102" spans="1:12" ht="21">
      <c r="A102" s="59">
        <v>4520</v>
      </c>
      <c r="B102" s="258" t="s">
        <v>519</v>
      </c>
      <c r="C102" s="250" t="s">
        <v>345</v>
      </c>
      <c r="D102" s="311">
        <f>SUM(D104:D105)</f>
        <v>0</v>
      </c>
      <c r="E102" s="311">
        <f>SUM(E104:E105)</f>
        <v>0</v>
      </c>
      <c r="F102" s="311" t="s">
        <v>29</v>
      </c>
      <c r="G102" s="311">
        <f>SUM(G104:G105)</f>
        <v>5359.279</v>
      </c>
      <c r="H102" s="311">
        <f>SUM(H104:H105)</f>
        <v>5359.279</v>
      </c>
      <c r="I102" s="311" t="s">
        <v>29</v>
      </c>
      <c r="J102" s="311">
        <f>SUM(J104:J105)</f>
        <v>1442.778</v>
      </c>
      <c r="K102" s="311">
        <f>SUM(K104:K105)</f>
        <v>1442.778</v>
      </c>
      <c r="L102" s="311" t="s">
        <v>29</v>
      </c>
    </row>
    <row r="103" spans="1:12" ht="12.75">
      <c r="A103" s="59"/>
      <c r="B103" s="248" t="s">
        <v>139</v>
      </c>
      <c r="C103" s="250"/>
      <c r="D103" s="311"/>
      <c r="E103" s="311"/>
      <c r="F103" s="252"/>
      <c r="G103" s="311"/>
      <c r="H103" s="311"/>
      <c r="I103" s="252"/>
      <c r="J103" s="311"/>
      <c r="K103" s="311"/>
      <c r="L103" s="252"/>
    </row>
    <row r="104" spans="1:12" ht="24.75" customHeight="1">
      <c r="A104" s="59">
        <v>4521</v>
      </c>
      <c r="B104" s="253" t="s">
        <v>520</v>
      </c>
      <c r="C104" s="254" t="s">
        <v>521</v>
      </c>
      <c r="D104" s="234">
        <f>SUM(E104:F104)</f>
        <v>0</v>
      </c>
      <c r="E104" s="311"/>
      <c r="F104" s="252" t="s">
        <v>134</v>
      </c>
      <c r="G104" s="234">
        <f>SUM(H104:I104)</f>
        <v>0</v>
      </c>
      <c r="H104" s="311"/>
      <c r="I104" s="252" t="s">
        <v>134</v>
      </c>
      <c r="J104" s="234">
        <f>SUM(K104:L104)</f>
        <v>0</v>
      </c>
      <c r="K104" s="311"/>
      <c r="L104" s="252" t="s">
        <v>134</v>
      </c>
    </row>
    <row r="105" spans="1:12" ht="21">
      <c r="A105" s="59">
        <v>4522</v>
      </c>
      <c r="B105" s="253" t="s">
        <v>522</v>
      </c>
      <c r="C105" s="254" t="s">
        <v>523</v>
      </c>
      <c r="D105" s="234">
        <f>SUM(E105:F105)</f>
        <v>0</v>
      </c>
      <c r="E105" s="299"/>
      <c r="F105" s="252" t="s">
        <v>134</v>
      </c>
      <c r="G105" s="234">
        <f>SUM(H105:I105)</f>
        <v>5359.279</v>
      </c>
      <c r="H105" s="299">
        <v>5359.279</v>
      </c>
      <c r="I105" s="252" t="s">
        <v>134</v>
      </c>
      <c r="J105" s="234">
        <f>SUM(K105:L105)</f>
        <v>1442.778</v>
      </c>
      <c r="K105" s="299">
        <v>1442.778</v>
      </c>
      <c r="L105" s="252" t="s">
        <v>134</v>
      </c>
    </row>
    <row r="106" spans="1:12" ht="27.75" customHeight="1">
      <c r="A106" s="59">
        <v>4530</v>
      </c>
      <c r="B106" s="258" t="s">
        <v>398</v>
      </c>
      <c r="C106" s="250" t="s">
        <v>345</v>
      </c>
      <c r="D106" s="311">
        <f>SUM(D108:D110)</f>
        <v>1871</v>
      </c>
      <c r="E106" s="311">
        <f>SUM(E108:E110)</f>
        <v>1871</v>
      </c>
      <c r="F106" s="252" t="s">
        <v>134</v>
      </c>
      <c r="G106" s="311">
        <f>SUM(G108:G110)</f>
        <v>1871</v>
      </c>
      <c r="H106" s="311">
        <f>SUM(H108:H110)</f>
        <v>1871</v>
      </c>
      <c r="I106" s="252" t="s">
        <v>134</v>
      </c>
      <c r="J106" s="311">
        <f>SUM(J108:J110)</f>
        <v>1075</v>
      </c>
      <c r="K106" s="311">
        <f>SUM(K108:K110)</f>
        <v>1075</v>
      </c>
      <c r="L106" s="252" t="s">
        <v>134</v>
      </c>
    </row>
    <row r="107" spans="1:12" ht="12.75">
      <c r="A107" s="59"/>
      <c r="B107" s="248" t="s">
        <v>139</v>
      </c>
      <c r="C107" s="250"/>
      <c r="D107" s="311"/>
      <c r="E107" s="311"/>
      <c r="F107" s="252" t="s">
        <v>134</v>
      </c>
      <c r="G107" s="311"/>
      <c r="H107" s="311"/>
      <c r="I107" s="252" t="s">
        <v>134</v>
      </c>
      <c r="J107" s="311"/>
      <c r="K107" s="311"/>
      <c r="L107" s="252" t="s">
        <v>134</v>
      </c>
    </row>
    <row r="108" spans="1:12" ht="21" customHeight="1">
      <c r="A108" s="59">
        <v>4531</v>
      </c>
      <c r="B108" s="256" t="s">
        <v>524</v>
      </c>
      <c r="C108" s="254" t="s">
        <v>525</v>
      </c>
      <c r="D108" s="234">
        <f>SUM(E108:F108)</f>
        <v>0</v>
      </c>
      <c r="E108" s="311"/>
      <c r="F108" s="252" t="s">
        <v>134</v>
      </c>
      <c r="G108" s="234">
        <f>SUM(H108:I108)</f>
        <v>0</v>
      </c>
      <c r="H108" s="311"/>
      <c r="I108" s="252" t="s">
        <v>134</v>
      </c>
      <c r="J108" s="234">
        <f>SUM(K108:L108)</f>
        <v>0</v>
      </c>
      <c r="K108" s="311"/>
      <c r="L108" s="252" t="s">
        <v>134</v>
      </c>
    </row>
    <row r="109" spans="1:12" ht="21" customHeight="1">
      <c r="A109" s="59">
        <v>4532</v>
      </c>
      <c r="B109" s="256" t="s">
        <v>526</v>
      </c>
      <c r="C109" s="254" t="s">
        <v>527</v>
      </c>
      <c r="D109" s="234">
        <f>SUM(E109:F109)</f>
        <v>0</v>
      </c>
      <c r="E109" s="311"/>
      <c r="F109" s="252" t="s">
        <v>134</v>
      </c>
      <c r="G109" s="234">
        <f>SUM(H109:I109)</f>
        <v>0</v>
      </c>
      <c r="H109" s="311"/>
      <c r="I109" s="252" t="s">
        <v>134</v>
      </c>
      <c r="J109" s="234">
        <f>SUM(K109:L109)</f>
        <v>0</v>
      </c>
      <c r="K109" s="311"/>
      <c r="L109" s="252" t="s">
        <v>134</v>
      </c>
    </row>
    <row r="110" spans="1:12" ht="21">
      <c r="A110" s="59">
        <v>4533</v>
      </c>
      <c r="B110" s="256" t="s">
        <v>399</v>
      </c>
      <c r="C110" s="254" t="s">
        <v>528</v>
      </c>
      <c r="D110" s="311">
        <f>SUM(D112,D116,D117)</f>
        <v>1871</v>
      </c>
      <c r="E110" s="311">
        <f>SUM(E112,E116,E117)</f>
        <v>1871</v>
      </c>
      <c r="F110" s="252" t="s">
        <v>134</v>
      </c>
      <c r="G110" s="311">
        <f>SUM(G112,G116,G117)</f>
        <v>1871</v>
      </c>
      <c r="H110" s="311">
        <f>SUM(H112,H116,H117)</f>
        <v>1871</v>
      </c>
      <c r="I110" s="252" t="s">
        <v>134</v>
      </c>
      <c r="J110" s="311">
        <f>SUM(J112,J116,J117)</f>
        <v>1075</v>
      </c>
      <c r="K110" s="311">
        <f>SUM(K112,K116,K117)</f>
        <v>1075</v>
      </c>
      <c r="L110" s="252" t="s">
        <v>134</v>
      </c>
    </row>
    <row r="111" spans="1:12" ht="12.75">
      <c r="A111" s="59"/>
      <c r="B111" s="260" t="s">
        <v>344</v>
      </c>
      <c r="C111" s="254"/>
      <c r="D111" s="311"/>
      <c r="E111" s="311"/>
      <c r="F111" s="252" t="s">
        <v>134</v>
      </c>
      <c r="G111" s="311"/>
      <c r="H111" s="311"/>
      <c r="I111" s="252" t="s">
        <v>134</v>
      </c>
      <c r="J111" s="311"/>
      <c r="K111" s="311"/>
      <c r="L111" s="252" t="s">
        <v>134</v>
      </c>
    </row>
    <row r="112" spans="1:12" ht="21">
      <c r="A112" s="59">
        <v>4534</v>
      </c>
      <c r="B112" s="260" t="s">
        <v>529</v>
      </c>
      <c r="C112" s="254"/>
      <c r="D112" s="311">
        <f>SUM(D114:D115)</f>
        <v>0</v>
      </c>
      <c r="E112" s="311">
        <f>SUM(E114:E115)</f>
        <v>0</v>
      </c>
      <c r="F112" s="252" t="s">
        <v>134</v>
      </c>
      <c r="G112" s="311">
        <f>SUM(G114:G115)</f>
        <v>0</v>
      </c>
      <c r="H112" s="311">
        <f>SUM(H114:H115)</f>
        <v>0</v>
      </c>
      <c r="I112" s="252" t="s">
        <v>134</v>
      </c>
      <c r="J112" s="311">
        <f>SUM(J114:J115)</f>
        <v>0</v>
      </c>
      <c r="K112" s="311">
        <f>SUM(K114:K115)</f>
        <v>0</v>
      </c>
      <c r="L112" s="252" t="s">
        <v>134</v>
      </c>
    </row>
    <row r="113" spans="1:12" ht="12.75">
      <c r="A113" s="59"/>
      <c r="B113" s="260" t="s">
        <v>530</v>
      </c>
      <c r="C113" s="254"/>
      <c r="D113" s="311"/>
      <c r="E113" s="311"/>
      <c r="F113" s="252" t="s">
        <v>134</v>
      </c>
      <c r="G113" s="311"/>
      <c r="H113" s="311"/>
      <c r="I113" s="252" t="s">
        <v>134</v>
      </c>
      <c r="J113" s="311"/>
      <c r="K113" s="311"/>
      <c r="L113" s="252" t="s">
        <v>134</v>
      </c>
    </row>
    <row r="114" spans="1:12" ht="12.75" customHeight="1">
      <c r="A114" s="116">
        <v>4535</v>
      </c>
      <c r="B114" s="261" t="s">
        <v>531</v>
      </c>
      <c r="C114" s="254"/>
      <c r="D114" s="234">
        <f>SUM(E114:F114)</f>
        <v>0</v>
      </c>
      <c r="E114" s="311"/>
      <c r="F114" s="252" t="s">
        <v>134</v>
      </c>
      <c r="G114" s="234">
        <f>SUM(H114:I114)</f>
        <v>0</v>
      </c>
      <c r="H114" s="311"/>
      <c r="I114" s="252" t="s">
        <v>134</v>
      </c>
      <c r="J114" s="234">
        <f>SUM(K114:L114)</f>
        <v>0</v>
      </c>
      <c r="K114" s="311"/>
      <c r="L114" s="252" t="s">
        <v>134</v>
      </c>
    </row>
    <row r="115" spans="1:12" ht="12.75">
      <c r="A115" s="59">
        <v>4536</v>
      </c>
      <c r="B115" s="260" t="s">
        <v>532</v>
      </c>
      <c r="C115" s="254"/>
      <c r="D115" s="234">
        <f>SUM(E115:F115)</f>
        <v>0</v>
      </c>
      <c r="E115" s="311"/>
      <c r="F115" s="252" t="s">
        <v>134</v>
      </c>
      <c r="G115" s="234">
        <f>SUM(H115:I115)</f>
        <v>0</v>
      </c>
      <c r="H115" s="311"/>
      <c r="I115" s="252" t="s">
        <v>134</v>
      </c>
      <c r="J115" s="234">
        <f>SUM(K115:L115)</f>
        <v>0</v>
      </c>
      <c r="K115" s="311"/>
      <c r="L115" s="252" t="s">
        <v>134</v>
      </c>
    </row>
    <row r="116" spans="1:12" ht="12.75">
      <c r="A116" s="59">
        <v>4537</v>
      </c>
      <c r="B116" s="260" t="s">
        <v>533</v>
      </c>
      <c r="C116" s="254"/>
      <c r="D116" s="234">
        <f>SUM(E116:F116)</f>
        <v>0</v>
      </c>
      <c r="E116" s="311"/>
      <c r="F116" s="252" t="s">
        <v>134</v>
      </c>
      <c r="G116" s="234">
        <f>SUM(H116:I116)</f>
        <v>0</v>
      </c>
      <c r="H116" s="311"/>
      <c r="I116" s="252" t="s">
        <v>134</v>
      </c>
      <c r="J116" s="234">
        <f>SUM(K116:L116)</f>
        <v>0</v>
      </c>
      <c r="K116" s="311"/>
      <c r="L116" s="252" t="s">
        <v>134</v>
      </c>
    </row>
    <row r="117" spans="1:12" ht="12.75">
      <c r="A117" s="59">
        <v>4538</v>
      </c>
      <c r="B117" s="260" t="s">
        <v>534</v>
      </c>
      <c r="C117" s="254"/>
      <c r="D117" s="234">
        <f>SUM(E117:F117)</f>
        <v>1871</v>
      </c>
      <c r="E117" s="311">
        <f>1871</f>
        <v>1871</v>
      </c>
      <c r="F117" s="252" t="s">
        <v>134</v>
      </c>
      <c r="G117" s="234">
        <f>SUM(H117:I117)</f>
        <v>1871</v>
      </c>
      <c r="H117" s="311">
        <f>1871</f>
        <v>1871</v>
      </c>
      <c r="I117" s="252" t="s">
        <v>134</v>
      </c>
      <c r="J117" s="234">
        <f>SUM(K117:L117)</f>
        <v>1075</v>
      </c>
      <c r="K117" s="311">
        <v>1075</v>
      </c>
      <c r="L117" s="252" t="s">
        <v>134</v>
      </c>
    </row>
    <row r="118" spans="1:12" ht="21">
      <c r="A118" s="59">
        <v>4540</v>
      </c>
      <c r="B118" s="258" t="s">
        <v>400</v>
      </c>
      <c r="C118" s="250" t="s">
        <v>345</v>
      </c>
      <c r="D118" s="311">
        <f>SUM(D120:D122)</f>
        <v>0</v>
      </c>
      <c r="E118" s="312"/>
      <c r="F118" s="252" t="s">
        <v>134</v>
      </c>
      <c r="G118" s="311">
        <f>SUM(G120:G122)</f>
        <v>0</v>
      </c>
      <c r="H118" s="312"/>
      <c r="I118" s="252" t="s">
        <v>134</v>
      </c>
      <c r="J118" s="311">
        <f>SUM(J120:J122)</f>
        <v>0</v>
      </c>
      <c r="K118" s="312"/>
      <c r="L118" s="252" t="s">
        <v>134</v>
      </c>
    </row>
    <row r="119" spans="1:12" ht="12.75">
      <c r="A119" s="59"/>
      <c r="B119" s="248" t="s">
        <v>139</v>
      </c>
      <c r="C119" s="250"/>
      <c r="D119" s="311"/>
      <c r="E119" s="311"/>
      <c r="F119" s="252"/>
      <c r="G119" s="311"/>
      <c r="H119" s="311"/>
      <c r="I119" s="252"/>
      <c r="J119" s="311"/>
      <c r="K119" s="311"/>
      <c r="L119" s="252"/>
    </row>
    <row r="120" spans="1:12" ht="21.75" customHeight="1">
      <c r="A120" s="59">
        <v>4541</v>
      </c>
      <c r="B120" s="256" t="s">
        <v>535</v>
      </c>
      <c r="C120" s="254" t="s">
        <v>536</v>
      </c>
      <c r="D120" s="234">
        <f>SUM(E120:F120)</f>
        <v>0</v>
      </c>
      <c r="E120" s="312"/>
      <c r="F120" s="252" t="s">
        <v>134</v>
      </c>
      <c r="G120" s="234">
        <f>SUM(H120:I120)</f>
        <v>0</v>
      </c>
      <c r="H120" s="312"/>
      <c r="I120" s="252" t="s">
        <v>134</v>
      </c>
      <c r="J120" s="234">
        <f>SUM(K120:L120)</f>
        <v>0</v>
      </c>
      <c r="K120" s="312"/>
      <c r="L120" s="252" t="s">
        <v>134</v>
      </c>
    </row>
    <row r="121" spans="1:12" ht="21.75" customHeight="1">
      <c r="A121" s="59">
        <v>4542</v>
      </c>
      <c r="B121" s="256" t="s">
        <v>537</v>
      </c>
      <c r="C121" s="254" t="s">
        <v>538</v>
      </c>
      <c r="D121" s="234">
        <f>SUM(E121:F121)</f>
        <v>0</v>
      </c>
      <c r="E121" s="312"/>
      <c r="F121" s="252" t="s">
        <v>134</v>
      </c>
      <c r="G121" s="234">
        <f>SUM(H121:I121)</f>
        <v>0</v>
      </c>
      <c r="H121" s="312"/>
      <c r="I121" s="252" t="s">
        <v>134</v>
      </c>
      <c r="J121" s="234">
        <f>SUM(K121:L121)</f>
        <v>0</v>
      </c>
      <c r="K121" s="312"/>
      <c r="L121" s="252" t="s">
        <v>134</v>
      </c>
    </row>
    <row r="122" spans="1:12" ht="21">
      <c r="A122" s="59">
        <v>4543</v>
      </c>
      <c r="B122" s="256" t="s">
        <v>401</v>
      </c>
      <c r="C122" s="254" t="s">
        <v>539</v>
      </c>
      <c r="D122" s="311">
        <f>SUM(D124,D128,D129)</f>
        <v>0</v>
      </c>
      <c r="E122" s="312"/>
      <c r="F122" s="252" t="s">
        <v>134</v>
      </c>
      <c r="G122" s="311">
        <f>SUM(G124,G128,G129)</f>
        <v>0</v>
      </c>
      <c r="H122" s="312"/>
      <c r="I122" s="252" t="s">
        <v>134</v>
      </c>
      <c r="J122" s="311">
        <f>SUM(J124,J128,J129)</f>
        <v>0</v>
      </c>
      <c r="K122" s="312"/>
      <c r="L122" s="252" t="s">
        <v>134</v>
      </c>
    </row>
    <row r="123" spans="1:12" ht="12.75">
      <c r="A123" s="59"/>
      <c r="B123" s="260" t="s">
        <v>344</v>
      </c>
      <c r="C123" s="254"/>
      <c r="D123" s="311"/>
      <c r="E123" s="311"/>
      <c r="F123" s="252"/>
      <c r="G123" s="311"/>
      <c r="H123" s="311"/>
      <c r="I123" s="252"/>
      <c r="J123" s="311"/>
      <c r="K123" s="311"/>
      <c r="L123" s="252"/>
    </row>
    <row r="124" spans="1:12" ht="21">
      <c r="A124" s="59">
        <v>4544</v>
      </c>
      <c r="B124" s="260" t="s">
        <v>540</v>
      </c>
      <c r="C124" s="254"/>
      <c r="D124" s="311">
        <f>SUM(D126:D127)</f>
        <v>0</v>
      </c>
      <c r="E124" s="312"/>
      <c r="F124" s="252" t="s">
        <v>134</v>
      </c>
      <c r="G124" s="311">
        <f>SUM(G126:G127)</f>
        <v>0</v>
      </c>
      <c r="H124" s="312"/>
      <c r="I124" s="252" t="s">
        <v>134</v>
      </c>
      <c r="J124" s="311">
        <f>SUM(J126:J127)</f>
        <v>0</v>
      </c>
      <c r="K124" s="312"/>
      <c r="L124" s="252" t="s">
        <v>134</v>
      </c>
    </row>
    <row r="125" spans="1:12" ht="12.75">
      <c r="A125" s="59"/>
      <c r="B125" s="260" t="s">
        <v>530</v>
      </c>
      <c r="C125" s="254"/>
      <c r="D125" s="311"/>
      <c r="E125" s="312"/>
      <c r="F125" s="252" t="s">
        <v>134</v>
      </c>
      <c r="G125" s="311"/>
      <c r="H125" s="312"/>
      <c r="I125" s="252" t="s">
        <v>134</v>
      </c>
      <c r="J125" s="311"/>
      <c r="K125" s="312"/>
      <c r="L125" s="252" t="s">
        <v>134</v>
      </c>
    </row>
    <row r="126" spans="1:12" ht="10.5" customHeight="1">
      <c r="A126" s="116">
        <v>4545</v>
      </c>
      <c r="B126" s="261" t="s">
        <v>531</v>
      </c>
      <c r="C126" s="254"/>
      <c r="D126" s="234">
        <f>SUM(E126:F126)</f>
        <v>0</v>
      </c>
      <c r="E126" s="312"/>
      <c r="F126" s="252" t="s">
        <v>134</v>
      </c>
      <c r="G126" s="234">
        <f>SUM(H126:I126)</f>
        <v>0</v>
      </c>
      <c r="H126" s="312"/>
      <c r="I126" s="252" t="s">
        <v>134</v>
      </c>
      <c r="J126" s="234">
        <f>SUM(K126:L126)</f>
        <v>0</v>
      </c>
      <c r="K126" s="312"/>
      <c r="L126" s="252" t="s">
        <v>134</v>
      </c>
    </row>
    <row r="127" spans="1:12" ht="12.75">
      <c r="A127" s="59">
        <v>4546</v>
      </c>
      <c r="B127" s="260" t="s">
        <v>541</v>
      </c>
      <c r="C127" s="254"/>
      <c r="D127" s="234">
        <f>SUM(E127:F127)</f>
        <v>0</v>
      </c>
      <c r="E127" s="312"/>
      <c r="F127" s="252" t="s">
        <v>134</v>
      </c>
      <c r="G127" s="234">
        <f>SUM(H127:I127)</f>
        <v>0</v>
      </c>
      <c r="H127" s="312"/>
      <c r="I127" s="252" t="s">
        <v>134</v>
      </c>
      <c r="J127" s="234">
        <f>SUM(K127:L127)</f>
        <v>0</v>
      </c>
      <c r="K127" s="312"/>
      <c r="L127" s="252" t="s">
        <v>134</v>
      </c>
    </row>
    <row r="128" spans="1:12" ht="12.75">
      <c r="A128" s="59">
        <v>4547</v>
      </c>
      <c r="B128" s="260" t="s">
        <v>533</v>
      </c>
      <c r="C128" s="254"/>
      <c r="D128" s="234">
        <f>SUM(E128:F128)</f>
        <v>0</v>
      </c>
      <c r="E128" s="312"/>
      <c r="F128" s="252" t="s">
        <v>134</v>
      </c>
      <c r="G128" s="234">
        <f>SUM(H128:I128)</f>
        <v>0</v>
      </c>
      <c r="H128" s="312"/>
      <c r="I128" s="252" t="s">
        <v>134</v>
      </c>
      <c r="J128" s="234">
        <f>SUM(K128:L128)</f>
        <v>0</v>
      </c>
      <c r="K128" s="312"/>
      <c r="L128" s="252" t="s">
        <v>134</v>
      </c>
    </row>
    <row r="129" spans="1:12" ht="12.75">
      <c r="A129" s="59">
        <v>4548</v>
      </c>
      <c r="B129" s="260" t="s">
        <v>534</v>
      </c>
      <c r="C129" s="254"/>
      <c r="D129" s="234">
        <f>SUM(E129:F129)</f>
        <v>0</v>
      </c>
      <c r="E129" s="312"/>
      <c r="F129" s="252" t="s">
        <v>134</v>
      </c>
      <c r="G129" s="234">
        <f>SUM(H129:I129)</f>
        <v>0</v>
      </c>
      <c r="H129" s="312"/>
      <c r="I129" s="252" t="s">
        <v>134</v>
      </c>
      <c r="J129" s="234">
        <f>SUM(K129:L129)</f>
        <v>0</v>
      </c>
      <c r="K129" s="312"/>
      <c r="L129" s="252" t="s">
        <v>134</v>
      </c>
    </row>
    <row r="130" spans="1:12" ht="21.75" customHeight="1">
      <c r="A130" s="59">
        <v>4600</v>
      </c>
      <c r="B130" s="258" t="s">
        <v>542</v>
      </c>
      <c r="C130" s="250" t="s">
        <v>345</v>
      </c>
      <c r="D130" s="311">
        <f>SUM(D132,D136,D142)</f>
        <v>10400</v>
      </c>
      <c r="E130" s="311">
        <f>SUM(E132,E136,E142)</f>
        <v>10400</v>
      </c>
      <c r="F130" s="252" t="s">
        <v>134</v>
      </c>
      <c r="G130" s="311">
        <f>SUM(G132,G136,G142)</f>
        <v>10400</v>
      </c>
      <c r="H130" s="311">
        <f>SUM(H132,H136,H142)</f>
        <v>10400</v>
      </c>
      <c r="I130" s="252" t="s">
        <v>134</v>
      </c>
      <c r="J130" s="311">
        <f>SUM(J132,J136,J142)</f>
        <v>6779</v>
      </c>
      <c r="K130" s="311">
        <f>SUM(K132,K136,K142)</f>
        <v>6779</v>
      </c>
      <c r="L130" s="252" t="s">
        <v>134</v>
      </c>
    </row>
    <row r="131" spans="1:12" ht="12.75">
      <c r="A131" s="59"/>
      <c r="B131" s="248" t="s">
        <v>344</v>
      </c>
      <c r="C131" s="246"/>
      <c r="D131" s="311"/>
      <c r="E131" s="311"/>
      <c r="F131" s="311"/>
      <c r="G131" s="311"/>
      <c r="H131" s="311"/>
      <c r="I131" s="311"/>
      <c r="J131" s="311"/>
      <c r="K131" s="311"/>
      <c r="L131" s="311"/>
    </row>
    <row r="132" spans="1:12" ht="12.75">
      <c r="A132" s="59">
        <v>4610</v>
      </c>
      <c r="B132" s="262" t="s">
        <v>543</v>
      </c>
      <c r="C132" s="246"/>
      <c r="D132" s="311">
        <f>SUM(D134:D135)</f>
        <v>0</v>
      </c>
      <c r="E132" s="311">
        <f>SUM(E134:E135)</f>
        <v>0</v>
      </c>
      <c r="F132" s="263" t="s">
        <v>29</v>
      </c>
      <c r="G132" s="311">
        <f>SUM(G134:G135)</f>
        <v>0</v>
      </c>
      <c r="H132" s="311">
        <f>SUM(H134:H135)</f>
        <v>0</v>
      </c>
      <c r="I132" s="263" t="s">
        <v>29</v>
      </c>
      <c r="J132" s="311">
        <f>SUM(J134:J135)</f>
        <v>0</v>
      </c>
      <c r="K132" s="311">
        <f>SUM(K134:K135)</f>
        <v>0</v>
      </c>
      <c r="L132" s="263" t="s">
        <v>29</v>
      </c>
    </row>
    <row r="133" spans="1:12" ht="12.75">
      <c r="A133" s="59"/>
      <c r="B133" s="248" t="s">
        <v>344</v>
      </c>
      <c r="C133" s="246"/>
      <c r="D133" s="311"/>
      <c r="E133" s="311"/>
      <c r="F133" s="252"/>
      <c r="G133" s="311"/>
      <c r="H133" s="311"/>
      <c r="I133" s="252"/>
      <c r="J133" s="311"/>
      <c r="K133" s="311"/>
      <c r="L133" s="252"/>
    </row>
    <row r="134" spans="1:12" ht="21">
      <c r="A134" s="59">
        <v>4610</v>
      </c>
      <c r="B134" s="253" t="s">
        <v>544</v>
      </c>
      <c r="C134" s="246" t="s">
        <v>545</v>
      </c>
      <c r="D134" s="234">
        <f>SUM(E134:F134)</f>
        <v>0</v>
      </c>
      <c r="E134" s="311"/>
      <c r="F134" s="252" t="s">
        <v>134</v>
      </c>
      <c r="G134" s="234">
        <f>SUM(H134:I134)</f>
        <v>0</v>
      </c>
      <c r="H134" s="311"/>
      <c r="I134" s="252" t="s">
        <v>134</v>
      </c>
      <c r="J134" s="234">
        <f>SUM(K134:L134)</f>
        <v>0</v>
      </c>
      <c r="K134" s="311"/>
      <c r="L134" s="252" t="s">
        <v>134</v>
      </c>
    </row>
    <row r="135" spans="1:12" ht="21">
      <c r="A135" s="59">
        <v>4620</v>
      </c>
      <c r="B135" s="253" t="s">
        <v>546</v>
      </c>
      <c r="C135" s="246" t="s">
        <v>547</v>
      </c>
      <c r="D135" s="234">
        <f>SUM(E135:F135)</f>
        <v>0</v>
      </c>
      <c r="E135" s="311"/>
      <c r="F135" s="252" t="s">
        <v>134</v>
      </c>
      <c r="G135" s="234">
        <f>SUM(H135:I135)</f>
        <v>0</v>
      </c>
      <c r="H135" s="311"/>
      <c r="I135" s="252" t="s">
        <v>134</v>
      </c>
      <c r="J135" s="234">
        <f>SUM(K135:L135)</f>
        <v>0</v>
      </c>
      <c r="K135" s="311"/>
      <c r="L135" s="252" t="s">
        <v>134</v>
      </c>
    </row>
    <row r="136" spans="1:12" ht="31.5">
      <c r="A136" s="59">
        <v>4630</v>
      </c>
      <c r="B136" s="255" t="s">
        <v>548</v>
      </c>
      <c r="C136" s="250" t="s">
        <v>345</v>
      </c>
      <c r="D136" s="311">
        <f>SUM(D138:D141)</f>
        <v>10400</v>
      </c>
      <c r="E136" s="311">
        <f>SUM(E138:E141)</f>
        <v>10400</v>
      </c>
      <c r="F136" s="252" t="s">
        <v>134</v>
      </c>
      <c r="G136" s="311">
        <f>SUM(G138:G141)</f>
        <v>10400</v>
      </c>
      <c r="H136" s="311">
        <f>SUM(H138:H141)</f>
        <v>10400</v>
      </c>
      <c r="I136" s="252" t="s">
        <v>134</v>
      </c>
      <c r="J136" s="311">
        <f>SUM(J138:J141)</f>
        <v>6779</v>
      </c>
      <c r="K136" s="311">
        <f>SUM(K138:K141)</f>
        <v>6779</v>
      </c>
      <c r="L136" s="252" t="s">
        <v>134</v>
      </c>
    </row>
    <row r="137" spans="1:12" ht="12.75">
      <c r="A137" s="59"/>
      <c r="B137" s="248" t="s">
        <v>139</v>
      </c>
      <c r="C137" s="250"/>
      <c r="D137" s="311"/>
      <c r="E137" s="311"/>
      <c r="F137" s="252"/>
      <c r="G137" s="311"/>
      <c r="H137" s="311"/>
      <c r="I137" s="252"/>
      <c r="J137" s="311"/>
      <c r="K137" s="311"/>
      <c r="L137" s="252"/>
    </row>
    <row r="138" spans="1:12" ht="12.75">
      <c r="A138" s="59">
        <v>4631</v>
      </c>
      <c r="B138" s="253" t="s">
        <v>549</v>
      </c>
      <c r="C138" s="254" t="s">
        <v>550</v>
      </c>
      <c r="D138" s="234">
        <f>SUM(E138:F138)</f>
        <v>0</v>
      </c>
      <c r="E138" s="311"/>
      <c r="F138" s="252" t="s">
        <v>134</v>
      </c>
      <c r="G138" s="234">
        <f>SUM(H138:I138)</f>
        <v>0</v>
      </c>
      <c r="H138" s="311"/>
      <c r="I138" s="252" t="s">
        <v>134</v>
      </c>
      <c r="J138" s="234">
        <f>SUM(K138:L138)</f>
        <v>0</v>
      </c>
      <c r="K138" s="311"/>
      <c r="L138" s="252" t="s">
        <v>134</v>
      </c>
    </row>
    <row r="139" spans="1:12" ht="25.5" customHeight="1">
      <c r="A139" s="59">
        <v>4632</v>
      </c>
      <c r="B139" s="253" t="s">
        <v>551</v>
      </c>
      <c r="C139" s="254" t="s">
        <v>552</v>
      </c>
      <c r="D139" s="234">
        <f>SUM(E139:F139)</f>
        <v>0</v>
      </c>
      <c r="E139" s="311"/>
      <c r="F139" s="252" t="s">
        <v>134</v>
      </c>
      <c r="G139" s="234">
        <f>SUM(H139:I139)</f>
        <v>0</v>
      </c>
      <c r="H139" s="311"/>
      <c r="I139" s="252" t="s">
        <v>134</v>
      </c>
      <c r="J139" s="234">
        <f>SUM(K139:L139)</f>
        <v>0</v>
      </c>
      <c r="K139" s="311"/>
      <c r="L139" s="252" t="s">
        <v>134</v>
      </c>
    </row>
    <row r="140" spans="1:12" ht="17.25" customHeight="1">
      <c r="A140" s="59">
        <v>4633</v>
      </c>
      <c r="B140" s="253" t="s">
        <v>553</v>
      </c>
      <c r="C140" s="254" t="s">
        <v>554</v>
      </c>
      <c r="D140" s="234">
        <f>SUM(E140:F140)</f>
        <v>0</v>
      </c>
      <c r="E140" s="311"/>
      <c r="F140" s="252" t="s">
        <v>134</v>
      </c>
      <c r="G140" s="234">
        <f>SUM(H140:I140)</f>
        <v>0</v>
      </c>
      <c r="H140" s="311"/>
      <c r="I140" s="252" t="s">
        <v>134</v>
      </c>
      <c r="J140" s="234">
        <f>SUM(K140:L140)</f>
        <v>0</v>
      </c>
      <c r="K140" s="311"/>
      <c r="L140" s="252" t="s">
        <v>134</v>
      </c>
    </row>
    <row r="141" spans="1:12" ht="14.25" customHeight="1">
      <c r="A141" s="59">
        <v>4634</v>
      </c>
      <c r="B141" s="253" t="s">
        <v>555</v>
      </c>
      <c r="C141" s="254" t="s">
        <v>365</v>
      </c>
      <c r="D141" s="234">
        <f>SUM(E141:F141)</f>
        <v>10400</v>
      </c>
      <c r="E141" s="311">
        <f>10400</f>
        <v>10400</v>
      </c>
      <c r="F141" s="252" t="s">
        <v>134</v>
      </c>
      <c r="G141" s="234">
        <f>SUM(H141:I141)</f>
        <v>10400</v>
      </c>
      <c r="H141" s="311">
        <f>10400</f>
        <v>10400</v>
      </c>
      <c r="I141" s="252" t="s">
        <v>134</v>
      </c>
      <c r="J141" s="234">
        <f>SUM(K141:L141)</f>
        <v>6779</v>
      </c>
      <c r="K141" s="311">
        <v>6779</v>
      </c>
      <c r="L141" s="252" t="s">
        <v>134</v>
      </c>
    </row>
    <row r="142" spans="1:12" ht="12.75">
      <c r="A142" s="59">
        <v>4640</v>
      </c>
      <c r="B142" s="255" t="s">
        <v>556</v>
      </c>
      <c r="C142" s="250" t="s">
        <v>345</v>
      </c>
      <c r="D142" s="311">
        <f>SUM(D144)</f>
        <v>0</v>
      </c>
      <c r="E142" s="311">
        <f>SUM(E144)</f>
        <v>0</v>
      </c>
      <c r="F142" s="252" t="s">
        <v>134</v>
      </c>
      <c r="G142" s="311">
        <f>SUM(G144)</f>
        <v>0</v>
      </c>
      <c r="H142" s="311">
        <f>SUM(H144)</f>
        <v>0</v>
      </c>
      <c r="I142" s="252" t="s">
        <v>134</v>
      </c>
      <c r="J142" s="311">
        <f>SUM(J144)</f>
        <v>0</v>
      </c>
      <c r="K142" s="311">
        <f>SUM(K144)</f>
        <v>0</v>
      </c>
      <c r="L142" s="252" t="s">
        <v>134</v>
      </c>
    </row>
    <row r="143" spans="1:12" ht="12.75">
      <c r="A143" s="59"/>
      <c r="B143" s="248" t="s">
        <v>139</v>
      </c>
      <c r="C143" s="250"/>
      <c r="D143" s="311"/>
      <c r="E143" s="311"/>
      <c r="F143" s="252"/>
      <c r="G143" s="311"/>
      <c r="H143" s="311"/>
      <c r="I143" s="252"/>
      <c r="J143" s="311"/>
      <c r="K143" s="311"/>
      <c r="L143" s="252"/>
    </row>
    <row r="144" spans="1:12" ht="12.75">
      <c r="A144" s="59">
        <v>4641</v>
      </c>
      <c r="B144" s="253" t="s">
        <v>557</v>
      </c>
      <c r="C144" s="254" t="s">
        <v>558</v>
      </c>
      <c r="D144" s="234">
        <f>SUM(E144:F144)</f>
        <v>0</v>
      </c>
      <c r="E144" s="311"/>
      <c r="F144" s="252" t="s">
        <v>29</v>
      </c>
      <c r="G144" s="234">
        <f>SUM(H144:I144)</f>
        <v>0</v>
      </c>
      <c r="H144" s="311"/>
      <c r="I144" s="252" t="s">
        <v>29</v>
      </c>
      <c r="J144" s="234">
        <f>SUM(K144:L144)</f>
        <v>0</v>
      </c>
      <c r="K144" s="311"/>
      <c r="L144" s="252" t="s">
        <v>29</v>
      </c>
    </row>
    <row r="145" spans="1:12" ht="33.75" customHeight="1">
      <c r="A145" s="59">
        <v>4700</v>
      </c>
      <c r="B145" s="255" t="s">
        <v>559</v>
      </c>
      <c r="C145" s="250" t="s">
        <v>345</v>
      </c>
      <c r="D145" s="311">
        <f aca="true" t="shared" si="11" ref="D145:I145">SUM(D147,D151,D157,D160,D164,D167,D170)</f>
        <v>30500</v>
      </c>
      <c r="E145" s="311">
        <f t="shared" si="11"/>
        <v>20500</v>
      </c>
      <c r="F145" s="311">
        <f t="shared" si="11"/>
        <v>10000</v>
      </c>
      <c r="G145" s="311">
        <f t="shared" si="11"/>
        <v>11705</v>
      </c>
      <c r="H145" s="311">
        <f t="shared" si="11"/>
        <v>5360</v>
      </c>
      <c r="I145" s="311">
        <f t="shared" si="11"/>
        <v>6345</v>
      </c>
      <c r="J145" s="311">
        <f>SUM(J147,J151,J157,J160,J164,J167,J170)</f>
        <v>2271.391</v>
      </c>
      <c r="K145" s="311">
        <f>SUM(K147,K151,K157,K160,K164,K167,K170)</f>
        <v>2271.391</v>
      </c>
      <c r="L145" s="311">
        <f>SUM(L147,L151,L157,L160,L164,L167,L170)</f>
        <v>0</v>
      </c>
    </row>
    <row r="146" spans="1:12" ht="12.75">
      <c r="A146" s="59"/>
      <c r="B146" s="248" t="s">
        <v>344</v>
      </c>
      <c r="C146" s="246"/>
      <c r="D146" s="311"/>
      <c r="E146" s="311"/>
      <c r="F146" s="311"/>
      <c r="G146" s="311"/>
      <c r="H146" s="311"/>
      <c r="I146" s="311"/>
      <c r="J146" s="311"/>
      <c r="K146" s="311"/>
      <c r="L146" s="311"/>
    </row>
    <row r="147" spans="1:12" ht="28.5" customHeight="1">
      <c r="A147" s="59">
        <v>4710</v>
      </c>
      <c r="B147" s="255" t="s">
        <v>560</v>
      </c>
      <c r="C147" s="250" t="s">
        <v>345</v>
      </c>
      <c r="D147" s="311">
        <f>SUM(D149:D150)</f>
        <v>0</v>
      </c>
      <c r="E147" s="311">
        <f>SUM(E149:E150)</f>
        <v>0</v>
      </c>
      <c r="F147" s="252" t="s">
        <v>134</v>
      </c>
      <c r="G147" s="311">
        <f>SUM(G149:G150)</f>
        <v>0</v>
      </c>
      <c r="H147" s="311">
        <f>SUM(H149:H150)</f>
        <v>0</v>
      </c>
      <c r="I147" s="252" t="s">
        <v>134</v>
      </c>
      <c r="J147" s="311">
        <f>SUM(J149:J150)</f>
        <v>0</v>
      </c>
      <c r="K147" s="311">
        <f>SUM(K149:K150)</f>
        <v>0</v>
      </c>
      <c r="L147" s="252" t="s">
        <v>134</v>
      </c>
    </row>
    <row r="148" spans="1:12" ht="12.75">
      <c r="A148" s="59"/>
      <c r="B148" s="248" t="s">
        <v>139</v>
      </c>
      <c r="C148" s="250"/>
      <c r="D148" s="311"/>
      <c r="E148" s="311"/>
      <c r="F148" s="252"/>
      <c r="G148" s="311"/>
      <c r="H148" s="311"/>
      <c r="I148" s="252"/>
      <c r="J148" s="311"/>
      <c r="K148" s="311"/>
      <c r="L148" s="252"/>
    </row>
    <row r="149" spans="1:12" ht="33.75" customHeight="1">
      <c r="A149" s="59">
        <v>4711</v>
      </c>
      <c r="B149" s="253" t="s">
        <v>561</v>
      </c>
      <c r="C149" s="254" t="s">
        <v>562</v>
      </c>
      <c r="D149" s="234">
        <f>SUM(E149:F149)</f>
        <v>0</v>
      </c>
      <c r="E149" s="311"/>
      <c r="F149" s="252" t="s">
        <v>134</v>
      </c>
      <c r="G149" s="234">
        <f>SUM(H149:I149)</f>
        <v>0</v>
      </c>
      <c r="H149" s="311"/>
      <c r="I149" s="252" t="s">
        <v>134</v>
      </c>
      <c r="J149" s="234">
        <f>SUM(K149:L149)</f>
        <v>0</v>
      </c>
      <c r="K149" s="311"/>
      <c r="L149" s="252" t="s">
        <v>134</v>
      </c>
    </row>
    <row r="150" spans="1:12" ht="21.75" customHeight="1">
      <c r="A150" s="59">
        <v>4712</v>
      </c>
      <c r="B150" s="253" t="s">
        <v>563</v>
      </c>
      <c r="C150" s="254" t="s">
        <v>564</v>
      </c>
      <c r="D150" s="234">
        <f>SUM(E150:F150)</f>
        <v>0</v>
      </c>
      <c r="E150" s="234">
        <f>SUM(F150:G150)</f>
        <v>0</v>
      </c>
      <c r="F150" s="252" t="s">
        <v>134</v>
      </c>
      <c r="G150" s="234">
        <f>SUM(H150:I150)</f>
        <v>0</v>
      </c>
      <c r="H150" s="234">
        <f>SUM(I150:J150)</f>
        <v>0</v>
      </c>
      <c r="I150" s="252" t="s">
        <v>134</v>
      </c>
      <c r="J150" s="234">
        <f>SUM(K150:L150)</f>
        <v>0</v>
      </c>
      <c r="K150" s="234">
        <f>SUM(L150:L150)</f>
        <v>0</v>
      </c>
      <c r="L150" s="252" t="s">
        <v>134</v>
      </c>
    </row>
    <row r="151" spans="1:12" ht="50.25" customHeight="1">
      <c r="A151" s="59">
        <v>4720</v>
      </c>
      <c r="B151" s="255" t="s">
        <v>565</v>
      </c>
      <c r="C151" s="250" t="s">
        <v>345</v>
      </c>
      <c r="D151" s="311">
        <f>SUM(D153:D156)</f>
        <v>500</v>
      </c>
      <c r="E151" s="311">
        <f>SUM(E153:E156)</f>
        <v>500</v>
      </c>
      <c r="F151" s="252" t="s">
        <v>134</v>
      </c>
      <c r="G151" s="311">
        <f>SUM(G153:G156)</f>
        <v>3500</v>
      </c>
      <c r="H151" s="311">
        <f>SUM(H153:H156)</f>
        <v>3500</v>
      </c>
      <c r="I151" s="252" t="s">
        <v>134</v>
      </c>
      <c r="J151" s="311">
        <f>SUM(J153:J156)</f>
        <v>2271.391</v>
      </c>
      <c r="K151" s="311">
        <f>SUM(K153:K156)</f>
        <v>2271.391</v>
      </c>
      <c r="L151" s="252" t="s">
        <v>134</v>
      </c>
    </row>
    <row r="152" spans="1:12" ht="12.75">
      <c r="A152" s="59"/>
      <c r="B152" s="248" t="s">
        <v>139</v>
      </c>
      <c r="C152" s="250"/>
      <c r="D152" s="311"/>
      <c r="E152" s="311"/>
      <c r="F152" s="252"/>
      <c r="G152" s="311"/>
      <c r="H152" s="311"/>
      <c r="I152" s="252"/>
      <c r="J152" s="311"/>
      <c r="K152" s="311"/>
      <c r="L152" s="252"/>
    </row>
    <row r="153" spans="1:12" ht="15.75" customHeight="1">
      <c r="A153" s="59">
        <v>4721</v>
      </c>
      <c r="B153" s="253" t="s">
        <v>566</v>
      </c>
      <c r="C153" s="254" t="s">
        <v>567</v>
      </c>
      <c r="D153" s="234">
        <f>SUM(E153:F153)</f>
        <v>0</v>
      </c>
      <c r="E153" s="311"/>
      <c r="F153" s="252" t="s">
        <v>134</v>
      </c>
      <c r="G153" s="234">
        <f>SUM(H153:I153)</f>
        <v>0</v>
      </c>
      <c r="H153" s="311"/>
      <c r="I153" s="252" t="s">
        <v>134</v>
      </c>
      <c r="J153" s="234">
        <f>SUM(K153:L153)</f>
        <v>0</v>
      </c>
      <c r="K153" s="311"/>
      <c r="L153" s="252" t="s">
        <v>134</v>
      </c>
    </row>
    <row r="154" spans="1:12" ht="12.75">
      <c r="A154" s="59">
        <v>4722</v>
      </c>
      <c r="B154" s="253" t="s">
        <v>568</v>
      </c>
      <c r="C154" s="249">
        <v>4822</v>
      </c>
      <c r="D154" s="234">
        <f>SUM(E154:F154)</f>
        <v>0</v>
      </c>
      <c r="E154" s="311"/>
      <c r="F154" s="252" t="s">
        <v>134</v>
      </c>
      <c r="G154" s="234">
        <f>SUM(H154:I154)</f>
        <v>0</v>
      </c>
      <c r="H154" s="311"/>
      <c r="I154" s="252" t="s">
        <v>134</v>
      </c>
      <c r="J154" s="234">
        <f>SUM(K154:L154)</f>
        <v>0</v>
      </c>
      <c r="K154" s="311"/>
      <c r="L154" s="252" t="s">
        <v>134</v>
      </c>
    </row>
    <row r="155" spans="1:12" ht="12.75">
      <c r="A155" s="59">
        <v>4723</v>
      </c>
      <c r="B155" s="253" t="s">
        <v>592</v>
      </c>
      <c r="C155" s="254" t="s">
        <v>593</v>
      </c>
      <c r="D155" s="234">
        <f>SUM(E155:F155)</f>
        <v>500</v>
      </c>
      <c r="E155" s="311">
        <f>500</f>
        <v>500</v>
      </c>
      <c r="F155" s="252" t="s">
        <v>134</v>
      </c>
      <c r="G155" s="234">
        <f>SUM(H155:I155)</f>
        <v>3500</v>
      </c>
      <c r="H155" s="311">
        <f>500+3000</f>
        <v>3500</v>
      </c>
      <c r="I155" s="252" t="s">
        <v>134</v>
      </c>
      <c r="J155" s="234">
        <f>SUM(K155:L155)</f>
        <v>2271.391</v>
      </c>
      <c r="K155" s="311">
        <v>2271.391</v>
      </c>
      <c r="L155" s="252" t="s">
        <v>134</v>
      </c>
    </row>
    <row r="156" spans="1:12" ht="21">
      <c r="A156" s="59">
        <v>4724</v>
      </c>
      <c r="B156" s="253" t="s">
        <v>594</v>
      </c>
      <c r="C156" s="254" t="s">
        <v>595</v>
      </c>
      <c r="D156" s="234">
        <f>SUM(E156:F156)</f>
        <v>0</v>
      </c>
      <c r="E156" s="311"/>
      <c r="F156" s="252" t="s">
        <v>134</v>
      </c>
      <c r="G156" s="234">
        <f>SUM(H156:I156)</f>
        <v>0</v>
      </c>
      <c r="H156" s="311"/>
      <c r="I156" s="252" t="s">
        <v>134</v>
      </c>
      <c r="J156" s="234">
        <f>SUM(K156:L156)</f>
        <v>0</v>
      </c>
      <c r="K156" s="311"/>
      <c r="L156" s="252" t="s">
        <v>134</v>
      </c>
    </row>
    <row r="157" spans="1:12" ht="21">
      <c r="A157" s="59">
        <v>4730</v>
      </c>
      <c r="B157" s="255" t="s">
        <v>596</v>
      </c>
      <c r="C157" s="250" t="s">
        <v>345</v>
      </c>
      <c r="D157" s="311">
        <f>SUM(D159)</f>
        <v>0</v>
      </c>
      <c r="E157" s="311">
        <f>SUM(E159)</f>
        <v>0</v>
      </c>
      <c r="F157" s="252" t="s">
        <v>134</v>
      </c>
      <c r="G157" s="311">
        <f>SUM(G159)</f>
        <v>0</v>
      </c>
      <c r="H157" s="311">
        <f>SUM(H159)</f>
        <v>0</v>
      </c>
      <c r="I157" s="252" t="s">
        <v>134</v>
      </c>
      <c r="J157" s="311">
        <f>SUM(J159)</f>
        <v>0</v>
      </c>
      <c r="K157" s="311">
        <f>SUM(K159)</f>
        <v>0</v>
      </c>
      <c r="L157" s="252" t="s">
        <v>134</v>
      </c>
    </row>
    <row r="158" spans="1:12" ht="12.75">
      <c r="A158" s="59"/>
      <c r="B158" s="248" t="s">
        <v>139</v>
      </c>
      <c r="C158" s="250"/>
      <c r="D158" s="311"/>
      <c r="E158" s="311"/>
      <c r="F158" s="252"/>
      <c r="G158" s="311"/>
      <c r="H158" s="311"/>
      <c r="I158" s="252"/>
      <c r="J158" s="311"/>
      <c r="K158" s="311"/>
      <c r="L158" s="252"/>
    </row>
    <row r="159" spans="1:12" ht="21">
      <c r="A159" s="59">
        <v>4731</v>
      </c>
      <c r="B159" s="259" t="s">
        <v>402</v>
      </c>
      <c r="C159" s="254" t="s">
        <v>597</v>
      </c>
      <c r="D159" s="234">
        <f>SUM(E159:F159)</f>
        <v>0</v>
      </c>
      <c r="E159" s="311"/>
      <c r="F159" s="252" t="s">
        <v>134</v>
      </c>
      <c r="G159" s="234">
        <f>SUM(H159:I159)</f>
        <v>0</v>
      </c>
      <c r="H159" s="311"/>
      <c r="I159" s="252" t="s">
        <v>134</v>
      </c>
      <c r="J159" s="234">
        <f>SUM(K159:L159)</f>
        <v>0</v>
      </c>
      <c r="K159" s="311"/>
      <c r="L159" s="252" t="s">
        <v>134</v>
      </c>
    </row>
    <row r="160" spans="1:12" ht="31.5">
      <c r="A160" s="59">
        <v>4740</v>
      </c>
      <c r="B160" s="264" t="s">
        <v>403</v>
      </c>
      <c r="C160" s="250" t="s">
        <v>345</v>
      </c>
      <c r="D160" s="311">
        <f>SUM(D162:D163)</f>
        <v>0</v>
      </c>
      <c r="E160" s="311">
        <f>SUM(E162:E163)</f>
        <v>0</v>
      </c>
      <c r="F160" s="252" t="s">
        <v>134</v>
      </c>
      <c r="G160" s="311">
        <f>SUM(G162:G163)</f>
        <v>0</v>
      </c>
      <c r="H160" s="311">
        <f>SUM(H162:H163)</f>
        <v>0</v>
      </c>
      <c r="I160" s="252" t="s">
        <v>134</v>
      </c>
      <c r="J160" s="311">
        <f>SUM(J162:J163)</f>
        <v>0</v>
      </c>
      <c r="K160" s="311">
        <f>SUM(K162:K163)</f>
        <v>0</v>
      </c>
      <c r="L160" s="252" t="s">
        <v>134</v>
      </c>
    </row>
    <row r="161" spans="1:12" ht="12.75">
      <c r="A161" s="59"/>
      <c r="B161" s="248" t="s">
        <v>139</v>
      </c>
      <c r="C161" s="250"/>
      <c r="D161" s="311"/>
      <c r="E161" s="311"/>
      <c r="F161" s="252"/>
      <c r="G161" s="311"/>
      <c r="H161" s="311"/>
      <c r="I161" s="252"/>
      <c r="J161" s="311"/>
      <c r="K161" s="311"/>
      <c r="L161" s="252"/>
    </row>
    <row r="162" spans="1:12" ht="21.75" customHeight="1">
      <c r="A162" s="59">
        <v>4741</v>
      </c>
      <c r="B162" s="253" t="s">
        <v>598</v>
      </c>
      <c r="C162" s="254" t="s">
        <v>599</v>
      </c>
      <c r="D162" s="234">
        <f>SUM(E162:F162)</f>
        <v>0</v>
      </c>
      <c r="E162" s="311"/>
      <c r="F162" s="252" t="s">
        <v>134</v>
      </c>
      <c r="G162" s="234">
        <f>SUM(H162:I162)</f>
        <v>0</v>
      </c>
      <c r="H162" s="311"/>
      <c r="I162" s="252" t="s">
        <v>134</v>
      </c>
      <c r="J162" s="234">
        <f>SUM(K162:L162)</f>
        <v>0</v>
      </c>
      <c r="K162" s="311"/>
      <c r="L162" s="252" t="s">
        <v>134</v>
      </c>
    </row>
    <row r="163" spans="1:12" ht="21.75" customHeight="1">
      <c r="A163" s="59">
        <v>4742</v>
      </c>
      <c r="B163" s="253" t="s">
        <v>600</v>
      </c>
      <c r="C163" s="254" t="s">
        <v>601</v>
      </c>
      <c r="D163" s="234">
        <f>SUM(E163:F163)</f>
        <v>0</v>
      </c>
      <c r="E163" s="311"/>
      <c r="F163" s="252" t="s">
        <v>134</v>
      </c>
      <c r="G163" s="234">
        <f>SUM(H163:I163)</f>
        <v>0</v>
      </c>
      <c r="H163" s="311"/>
      <c r="I163" s="252" t="s">
        <v>134</v>
      </c>
      <c r="J163" s="234">
        <f>SUM(K163:L163)</f>
        <v>0</v>
      </c>
      <c r="K163" s="311"/>
      <c r="L163" s="252" t="s">
        <v>134</v>
      </c>
    </row>
    <row r="164" spans="1:12" ht="33" customHeight="1">
      <c r="A164" s="59">
        <v>4750</v>
      </c>
      <c r="B164" s="255" t="s">
        <v>404</v>
      </c>
      <c r="C164" s="250" t="s">
        <v>345</v>
      </c>
      <c r="D164" s="311">
        <f>SUM(D166)</f>
        <v>0</v>
      </c>
      <c r="E164" s="311">
        <f>SUM(E166)</f>
        <v>0</v>
      </c>
      <c r="F164" s="252" t="s">
        <v>134</v>
      </c>
      <c r="G164" s="311">
        <f>SUM(G166)</f>
        <v>0</v>
      </c>
      <c r="H164" s="311">
        <f>SUM(H166)</f>
        <v>0</v>
      </c>
      <c r="I164" s="252" t="s">
        <v>134</v>
      </c>
      <c r="J164" s="311">
        <f>SUM(J166)</f>
        <v>0</v>
      </c>
      <c r="K164" s="311">
        <f>SUM(K166)</f>
        <v>0</v>
      </c>
      <c r="L164" s="252" t="s">
        <v>134</v>
      </c>
    </row>
    <row r="165" spans="1:12" ht="12.75">
      <c r="A165" s="59"/>
      <c r="B165" s="248" t="s">
        <v>139</v>
      </c>
      <c r="C165" s="250"/>
      <c r="D165" s="311"/>
      <c r="E165" s="311"/>
      <c r="F165" s="252"/>
      <c r="G165" s="311"/>
      <c r="H165" s="311"/>
      <c r="I165" s="252"/>
      <c r="J165" s="311"/>
      <c r="K165" s="311"/>
      <c r="L165" s="252"/>
    </row>
    <row r="166" spans="1:12" ht="35.25" customHeight="1">
      <c r="A166" s="59">
        <v>4751</v>
      </c>
      <c r="B166" s="253" t="s">
        <v>602</v>
      </c>
      <c r="C166" s="254" t="s">
        <v>603</v>
      </c>
      <c r="D166" s="234">
        <f>SUM(E166:F166)</f>
        <v>0</v>
      </c>
      <c r="E166" s="311"/>
      <c r="F166" s="252" t="s">
        <v>134</v>
      </c>
      <c r="G166" s="234">
        <f>SUM(H166:I166)</f>
        <v>0</v>
      </c>
      <c r="H166" s="311"/>
      <c r="I166" s="252" t="s">
        <v>134</v>
      </c>
      <c r="J166" s="234">
        <f>SUM(K166:L166)</f>
        <v>0</v>
      </c>
      <c r="K166" s="311"/>
      <c r="L166" s="252" t="s">
        <v>134</v>
      </c>
    </row>
    <row r="167" spans="1:12" ht="17.25" customHeight="1">
      <c r="A167" s="59">
        <v>4760</v>
      </c>
      <c r="B167" s="264" t="s">
        <v>405</v>
      </c>
      <c r="C167" s="250" t="s">
        <v>345</v>
      </c>
      <c r="D167" s="311">
        <f>SUM(D169)</f>
        <v>0</v>
      </c>
      <c r="E167" s="311">
        <f>SUM(E169)</f>
        <v>0</v>
      </c>
      <c r="F167" s="252" t="s">
        <v>134</v>
      </c>
      <c r="G167" s="311">
        <f>SUM(G169)</f>
        <v>0</v>
      </c>
      <c r="H167" s="311">
        <f>SUM(H169)</f>
        <v>0</v>
      </c>
      <c r="I167" s="252" t="s">
        <v>134</v>
      </c>
      <c r="J167" s="311">
        <f>SUM(J169)</f>
        <v>0</v>
      </c>
      <c r="K167" s="311">
        <f>SUM(K169)</f>
        <v>0</v>
      </c>
      <c r="L167" s="252" t="s">
        <v>134</v>
      </c>
    </row>
    <row r="168" spans="1:12" ht="12.75">
      <c r="A168" s="59"/>
      <c r="B168" s="248" t="s">
        <v>139</v>
      </c>
      <c r="C168" s="250"/>
      <c r="D168" s="311"/>
      <c r="E168" s="311"/>
      <c r="F168" s="252"/>
      <c r="G168" s="311"/>
      <c r="H168" s="311"/>
      <c r="I168" s="252"/>
      <c r="J168" s="311"/>
      <c r="K168" s="311"/>
      <c r="L168" s="252"/>
    </row>
    <row r="169" spans="1:12" ht="17.25" customHeight="1">
      <c r="A169" s="59">
        <v>4761</v>
      </c>
      <c r="B169" s="253" t="s">
        <v>604</v>
      </c>
      <c r="C169" s="254" t="s">
        <v>605</v>
      </c>
      <c r="D169" s="234">
        <f>SUM(E169:F169)</f>
        <v>0</v>
      </c>
      <c r="E169" s="311"/>
      <c r="F169" s="252" t="s">
        <v>134</v>
      </c>
      <c r="G169" s="234">
        <f>SUM(H169:I169)</f>
        <v>0</v>
      </c>
      <c r="H169" s="311"/>
      <c r="I169" s="252" t="s">
        <v>134</v>
      </c>
      <c r="J169" s="234">
        <f>SUM(K169:L169)</f>
        <v>0</v>
      </c>
      <c r="K169" s="311"/>
      <c r="L169" s="252" t="s">
        <v>134</v>
      </c>
    </row>
    <row r="170" spans="1:12" ht="12.75">
      <c r="A170" s="59">
        <v>4770</v>
      </c>
      <c r="B170" s="255" t="s">
        <v>406</v>
      </c>
      <c r="C170" s="250" t="s">
        <v>345</v>
      </c>
      <c r="D170" s="311">
        <f aca="true" t="shared" si="12" ref="D170:I170">SUM(D172)</f>
        <v>30000</v>
      </c>
      <c r="E170" s="311">
        <f t="shared" si="12"/>
        <v>20000</v>
      </c>
      <c r="F170" s="311">
        <f t="shared" si="12"/>
        <v>10000</v>
      </c>
      <c r="G170" s="311">
        <f t="shared" si="12"/>
        <v>8205</v>
      </c>
      <c r="H170" s="311">
        <f t="shared" si="12"/>
        <v>1860</v>
      </c>
      <c r="I170" s="311">
        <f t="shared" si="12"/>
        <v>6345</v>
      </c>
      <c r="J170" s="311">
        <f>SUM(J172)</f>
        <v>0</v>
      </c>
      <c r="K170" s="311">
        <f>SUM(K172)</f>
        <v>0</v>
      </c>
      <c r="L170" s="311">
        <f>SUM(L172)</f>
        <v>0</v>
      </c>
    </row>
    <row r="171" spans="1:12" ht="12.75">
      <c r="A171" s="59"/>
      <c r="B171" s="248" t="s">
        <v>139</v>
      </c>
      <c r="C171" s="250"/>
      <c r="D171" s="311"/>
      <c r="E171" s="311"/>
      <c r="F171" s="252"/>
      <c r="G171" s="311"/>
      <c r="H171" s="311"/>
      <c r="I171" s="252"/>
      <c r="J171" s="311"/>
      <c r="K171" s="311"/>
      <c r="L171" s="252"/>
    </row>
    <row r="172" spans="1:12" ht="12.75">
      <c r="A172" s="59">
        <v>4771</v>
      </c>
      <c r="B172" s="253" t="s">
        <v>606</v>
      </c>
      <c r="C172" s="254" t="s">
        <v>607</v>
      </c>
      <c r="D172" s="234">
        <f>E172+F172</f>
        <v>30000</v>
      </c>
      <c r="E172" s="311">
        <v>20000</v>
      </c>
      <c r="F172" s="252">
        <f>10000</f>
        <v>10000</v>
      </c>
      <c r="G172" s="234">
        <f>H172+I172</f>
        <v>8205</v>
      </c>
      <c r="H172" s="311">
        <v>1860</v>
      </c>
      <c r="I172" s="252">
        <v>6345</v>
      </c>
      <c r="J172" s="234">
        <f>K172+L172</f>
        <v>0</v>
      </c>
      <c r="K172" s="311"/>
      <c r="L172" s="252"/>
    </row>
    <row r="173" spans="1:12" ht="21">
      <c r="A173" s="59">
        <v>4772</v>
      </c>
      <c r="B173" s="259" t="s">
        <v>608</v>
      </c>
      <c r="C173" s="250" t="s">
        <v>345</v>
      </c>
      <c r="D173" s="234">
        <f>SUM(E173:F173)</f>
        <v>0</v>
      </c>
      <c r="E173" s="311"/>
      <c r="F173" s="252" t="s">
        <v>29</v>
      </c>
      <c r="G173" s="234">
        <f>SUM(H173:I173)</f>
        <v>0</v>
      </c>
      <c r="H173" s="311"/>
      <c r="I173" s="252" t="s">
        <v>29</v>
      </c>
      <c r="J173" s="234">
        <f>SUM(K173:L173)</f>
        <v>0</v>
      </c>
      <c r="K173" s="311"/>
      <c r="L173" s="252" t="s">
        <v>29</v>
      </c>
    </row>
    <row r="174" spans="1:12" s="313" customFormat="1" ht="21.75" customHeight="1">
      <c r="A174" s="59">
        <v>5000</v>
      </c>
      <c r="B174" s="254" t="s">
        <v>407</v>
      </c>
      <c r="C174" s="250" t="s">
        <v>345</v>
      </c>
      <c r="D174" s="311">
        <f>SUM(D176,D194,D200,D203)</f>
        <v>50000</v>
      </c>
      <c r="E174" s="252" t="s">
        <v>134</v>
      </c>
      <c r="F174" s="311">
        <f>SUM(F176,F194,F200,F203)</f>
        <v>50000</v>
      </c>
      <c r="G174" s="311">
        <f>SUM(G176,G194,G200,G203)</f>
        <v>141092.586</v>
      </c>
      <c r="H174" s="252" t="s">
        <v>134</v>
      </c>
      <c r="I174" s="311">
        <f>SUM(I176,I194,I200,I203)</f>
        <v>141092.586</v>
      </c>
      <c r="J174" s="311">
        <f>SUM(J176,J194,J200,J203)</f>
        <v>50387.399999999994</v>
      </c>
      <c r="K174" s="252" t="s">
        <v>134</v>
      </c>
      <c r="L174" s="317">
        <f>SUM(L176,L194,L200,L203)</f>
        <v>50387.399999999994</v>
      </c>
    </row>
    <row r="175" spans="1:12" ht="12.75">
      <c r="A175" s="59"/>
      <c r="B175" s="248" t="s">
        <v>344</v>
      </c>
      <c r="C175" s="246"/>
      <c r="D175" s="311"/>
      <c r="E175" s="311"/>
      <c r="F175" s="311"/>
      <c r="G175" s="311"/>
      <c r="H175" s="311"/>
      <c r="I175" s="311"/>
      <c r="J175" s="311"/>
      <c r="K175" s="311"/>
      <c r="L175" s="311"/>
    </row>
    <row r="176" spans="1:12" ht="21">
      <c r="A176" s="59">
        <v>5100</v>
      </c>
      <c r="B176" s="253" t="s">
        <v>609</v>
      </c>
      <c r="C176" s="250" t="s">
        <v>345</v>
      </c>
      <c r="D176" s="311">
        <f>SUM(D178,D183,D188)</f>
        <v>50000</v>
      </c>
      <c r="E176" s="252" t="s">
        <v>134</v>
      </c>
      <c r="F176" s="311">
        <f>SUM(F178,F183,F188)</f>
        <v>50000</v>
      </c>
      <c r="G176" s="311">
        <f>SUM(G178,G183,G188)</f>
        <v>141092.586</v>
      </c>
      <c r="H176" s="252" t="s">
        <v>134</v>
      </c>
      <c r="I176" s="311">
        <f>SUM(I178,I183,I188)</f>
        <v>141092.586</v>
      </c>
      <c r="J176" s="311">
        <f>SUM(J178,J183,J188)</f>
        <v>50387.399999999994</v>
      </c>
      <c r="K176" s="252" t="s">
        <v>134</v>
      </c>
      <c r="L176" s="311">
        <f>SUM(L178,L183,L188)</f>
        <v>50387.399999999994</v>
      </c>
    </row>
    <row r="177" spans="1:12" ht="12.75">
      <c r="A177" s="59"/>
      <c r="B177" s="248" t="s">
        <v>344</v>
      </c>
      <c r="C177" s="246"/>
      <c r="D177" s="311"/>
      <c r="E177" s="311"/>
      <c r="F177" s="311"/>
      <c r="G177" s="311"/>
      <c r="H177" s="311"/>
      <c r="I177" s="311"/>
      <c r="J177" s="311"/>
      <c r="K177" s="311"/>
      <c r="L177" s="311"/>
    </row>
    <row r="178" spans="1:12" ht="21">
      <c r="A178" s="59">
        <v>5110</v>
      </c>
      <c r="B178" s="255" t="s">
        <v>610</v>
      </c>
      <c r="C178" s="250" t="s">
        <v>345</v>
      </c>
      <c r="D178" s="311">
        <f>SUM(D180:D182)</f>
        <v>42600</v>
      </c>
      <c r="E178" s="311" t="s">
        <v>29</v>
      </c>
      <c r="F178" s="311">
        <f>SUM(F180:F182)</f>
        <v>42600</v>
      </c>
      <c r="G178" s="311">
        <f>SUM(G180:G182)</f>
        <v>111602.586</v>
      </c>
      <c r="H178" s="311" t="s">
        <v>29</v>
      </c>
      <c r="I178" s="311">
        <f>SUM(I180:I182)</f>
        <v>111602.586</v>
      </c>
      <c r="J178" s="311">
        <f>SUM(J180:J182)</f>
        <v>25669.046</v>
      </c>
      <c r="K178" s="311" t="s">
        <v>29</v>
      </c>
      <c r="L178" s="311">
        <f>SUM(L180:L182)</f>
        <v>25669.046</v>
      </c>
    </row>
    <row r="179" spans="1:12" ht="12.75">
      <c r="A179" s="59"/>
      <c r="B179" s="248" t="s">
        <v>139</v>
      </c>
      <c r="C179" s="250"/>
      <c r="D179" s="311"/>
      <c r="E179" s="311"/>
      <c r="F179" s="252"/>
      <c r="G179" s="311"/>
      <c r="H179" s="311"/>
      <c r="I179" s="252"/>
      <c r="J179" s="311"/>
      <c r="K179" s="311"/>
      <c r="L179" s="252"/>
    </row>
    <row r="180" spans="1:12" ht="12.75">
      <c r="A180" s="59">
        <v>5111</v>
      </c>
      <c r="B180" s="253" t="s">
        <v>611</v>
      </c>
      <c r="C180" s="265" t="s">
        <v>612</v>
      </c>
      <c r="D180" s="234">
        <f>SUM(E180:F180)</f>
        <v>0</v>
      </c>
      <c r="E180" s="252" t="s">
        <v>134</v>
      </c>
      <c r="F180" s="311"/>
      <c r="G180" s="234">
        <f>SUM(H180:I180)</f>
        <v>0</v>
      </c>
      <c r="H180" s="252" t="s">
        <v>134</v>
      </c>
      <c r="I180" s="311"/>
      <c r="J180" s="234">
        <f>SUM(K180:L180)</f>
        <v>0</v>
      </c>
      <c r="K180" s="252" t="s">
        <v>134</v>
      </c>
      <c r="L180" s="311"/>
    </row>
    <row r="181" spans="1:12" ht="13.5" customHeight="1">
      <c r="A181" s="59">
        <v>5112</v>
      </c>
      <c r="B181" s="253" t="s">
        <v>613</v>
      </c>
      <c r="C181" s="265" t="s">
        <v>614</v>
      </c>
      <c r="D181" s="234">
        <f>SUM(E181:F181)</f>
        <v>0</v>
      </c>
      <c r="E181" s="252" t="s">
        <v>134</v>
      </c>
      <c r="F181" s="311"/>
      <c r="G181" s="234">
        <f>SUM(H181:I181)</f>
        <v>0</v>
      </c>
      <c r="H181" s="252" t="s">
        <v>134</v>
      </c>
      <c r="I181" s="311"/>
      <c r="J181" s="234">
        <f>SUM(K181:L181)</f>
        <v>0</v>
      </c>
      <c r="K181" s="252" t="s">
        <v>134</v>
      </c>
      <c r="L181" s="311"/>
    </row>
    <row r="182" spans="1:12" ht="13.5" customHeight="1">
      <c r="A182" s="59">
        <v>5113</v>
      </c>
      <c r="B182" s="253" t="s">
        <v>615</v>
      </c>
      <c r="C182" s="265" t="s">
        <v>616</v>
      </c>
      <c r="D182" s="234">
        <f>SUM(E182:F182)</f>
        <v>42600</v>
      </c>
      <c r="E182" s="252" t="s">
        <v>134</v>
      </c>
      <c r="F182" s="311">
        <f>42600</f>
        <v>42600</v>
      </c>
      <c r="G182" s="234">
        <f>SUM(H182:I182)</f>
        <v>111602.586</v>
      </c>
      <c r="H182" s="252" t="s">
        <v>134</v>
      </c>
      <c r="I182" s="311">
        <v>111602.586</v>
      </c>
      <c r="J182" s="234">
        <f>SUM(K182:L182)</f>
        <v>25669.046</v>
      </c>
      <c r="K182" s="252" t="s">
        <v>134</v>
      </c>
      <c r="L182" s="311">
        <v>25669.046</v>
      </c>
    </row>
    <row r="183" spans="1:12" ht="25.5" customHeight="1">
      <c r="A183" s="59">
        <v>5120</v>
      </c>
      <c r="B183" s="255" t="s">
        <v>617</v>
      </c>
      <c r="C183" s="250" t="s">
        <v>345</v>
      </c>
      <c r="D183" s="311">
        <f>SUM(D185:D187)</f>
        <v>7000</v>
      </c>
      <c r="E183" s="311" t="s">
        <v>29</v>
      </c>
      <c r="F183" s="311">
        <f>SUM(F185:F187)</f>
        <v>7000</v>
      </c>
      <c r="G183" s="311">
        <f>SUM(G185:G187)</f>
        <v>25000</v>
      </c>
      <c r="H183" s="311" t="s">
        <v>29</v>
      </c>
      <c r="I183" s="311">
        <f>SUM(I185:I187)</f>
        <v>25000</v>
      </c>
      <c r="J183" s="311">
        <f>SUM(J185:J187)</f>
        <v>20228.354</v>
      </c>
      <c r="K183" s="311" t="s">
        <v>29</v>
      </c>
      <c r="L183" s="311">
        <f>SUM(L185:L187)</f>
        <v>20228.354</v>
      </c>
    </row>
    <row r="184" spans="1:12" ht="12.75">
      <c r="A184" s="59"/>
      <c r="B184" s="266" t="s">
        <v>139</v>
      </c>
      <c r="C184" s="250"/>
      <c r="D184" s="311"/>
      <c r="E184" s="311"/>
      <c r="F184" s="252"/>
      <c r="G184" s="311"/>
      <c r="H184" s="311"/>
      <c r="I184" s="252"/>
      <c r="J184" s="311"/>
      <c r="K184" s="311"/>
      <c r="L184" s="252"/>
    </row>
    <row r="185" spans="1:12" ht="12.75">
      <c r="A185" s="59">
        <v>5121</v>
      </c>
      <c r="B185" s="253" t="s">
        <v>618</v>
      </c>
      <c r="C185" s="265" t="s">
        <v>619</v>
      </c>
      <c r="D185" s="234">
        <f>SUM(E185:F185)</f>
        <v>2000</v>
      </c>
      <c r="E185" s="252" t="s">
        <v>134</v>
      </c>
      <c r="F185" s="311">
        <f>2000</f>
        <v>2000</v>
      </c>
      <c r="G185" s="234">
        <f>SUM(H185:I185)</f>
        <v>20000</v>
      </c>
      <c r="H185" s="252" t="s">
        <v>134</v>
      </c>
      <c r="I185" s="311">
        <v>20000</v>
      </c>
      <c r="J185" s="234">
        <f>SUM(K185:L185)</f>
        <v>18313.354</v>
      </c>
      <c r="K185" s="252" t="s">
        <v>134</v>
      </c>
      <c r="L185" s="311">
        <v>18313.354</v>
      </c>
    </row>
    <row r="186" spans="1:12" ht="12.75">
      <c r="A186" s="59">
        <v>5122</v>
      </c>
      <c r="B186" s="253" t="s">
        <v>620</v>
      </c>
      <c r="C186" s="265" t="s">
        <v>621</v>
      </c>
      <c r="D186" s="234">
        <f>SUM(E186:F186)</f>
        <v>5000</v>
      </c>
      <c r="E186" s="252" t="s">
        <v>134</v>
      </c>
      <c r="F186" s="311">
        <f>5000</f>
        <v>5000</v>
      </c>
      <c r="G186" s="234">
        <f>SUM(H186:I186)</f>
        <v>5000</v>
      </c>
      <c r="H186" s="252" t="s">
        <v>134</v>
      </c>
      <c r="I186" s="311">
        <f>5000</f>
        <v>5000</v>
      </c>
      <c r="J186" s="234">
        <f>SUM(K186:L186)</f>
        <v>1915</v>
      </c>
      <c r="K186" s="252" t="s">
        <v>134</v>
      </c>
      <c r="L186" s="311">
        <v>1915</v>
      </c>
    </row>
    <row r="187" spans="1:12" ht="17.25" customHeight="1">
      <c r="A187" s="59">
        <v>5123</v>
      </c>
      <c r="B187" s="253" t="s">
        <v>622</v>
      </c>
      <c r="C187" s="265" t="s">
        <v>623</v>
      </c>
      <c r="D187" s="234">
        <f>SUM(E187:F187)</f>
        <v>0</v>
      </c>
      <c r="E187" s="252" t="s">
        <v>134</v>
      </c>
      <c r="F187" s="311"/>
      <c r="G187" s="234">
        <f>SUM(H187:I187)</f>
        <v>0</v>
      </c>
      <c r="H187" s="252" t="s">
        <v>134</v>
      </c>
      <c r="I187" s="311">
        <v>0</v>
      </c>
      <c r="J187" s="234">
        <f>SUM(K187:L187)</f>
        <v>0</v>
      </c>
      <c r="K187" s="252" t="s">
        <v>134</v>
      </c>
      <c r="L187" s="311"/>
    </row>
    <row r="188" spans="1:12" ht="18" customHeight="1">
      <c r="A188" s="59">
        <v>5130</v>
      </c>
      <c r="B188" s="255" t="s">
        <v>624</v>
      </c>
      <c r="C188" s="250" t="s">
        <v>345</v>
      </c>
      <c r="D188" s="311">
        <f>SUM(D190:D193)</f>
        <v>400</v>
      </c>
      <c r="E188" s="311" t="s">
        <v>29</v>
      </c>
      <c r="F188" s="311">
        <f>SUM(F190:F193)</f>
        <v>400</v>
      </c>
      <c r="G188" s="311">
        <f>SUM(G190:G193)</f>
        <v>4490</v>
      </c>
      <c r="H188" s="311" t="s">
        <v>29</v>
      </c>
      <c r="I188" s="311">
        <f>SUM(I190:I193)</f>
        <v>4490</v>
      </c>
      <c r="J188" s="311">
        <f>SUM(J190:J193)</f>
        <v>4490</v>
      </c>
      <c r="K188" s="311" t="s">
        <v>29</v>
      </c>
      <c r="L188" s="311">
        <f>SUM(L190:L193)</f>
        <v>4490</v>
      </c>
    </row>
    <row r="189" spans="1:12" ht="12.75">
      <c r="A189" s="59"/>
      <c r="B189" s="248" t="s">
        <v>139</v>
      </c>
      <c r="C189" s="250"/>
      <c r="D189" s="311"/>
      <c r="E189" s="311"/>
      <c r="F189" s="252"/>
      <c r="G189" s="311"/>
      <c r="H189" s="311"/>
      <c r="I189" s="252"/>
      <c r="J189" s="311"/>
      <c r="K189" s="311"/>
      <c r="L189" s="252"/>
    </row>
    <row r="190" spans="1:12" ht="17.25" customHeight="1">
      <c r="A190" s="59">
        <v>5131</v>
      </c>
      <c r="B190" s="253" t="s">
        <v>625</v>
      </c>
      <c r="C190" s="265" t="s">
        <v>626</v>
      </c>
      <c r="D190" s="234">
        <f>SUM(E190:F190)</f>
        <v>0</v>
      </c>
      <c r="E190" s="252" t="s">
        <v>134</v>
      </c>
      <c r="F190" s="311"/>
      <c r="G190" s="234">
        <f>SUM(H190:I190)</f>
        <v>0</v>
      </c>
      <c r="H190" s="252" t="s">
        <v>134</v>
      </c>
      <c r="I190" s="311"/>
      <c r="J190" s="234">
        <f>SUM(K190:L190)</f>
        <v>0</v>
      </c>
      <c r="K190" s="252" t="s">
        <v>134</v>
      </c>
      <c r="L190" s="311"/>
    </row>
    <row r="191" spans="1:12" ht="17.25" customHeight="1">
      <c r="A191" s="59">
        <v>5132</v>
      </c>
      <c r="B191" s="253" t="s">
        <v>627</v>
      </c>
      <c r="C191" s="265" t="s">
        <v>628</v>
      </c>
      <c r="D191" s="234">
        <f>SUM(E191:F191)</f>
        <v>0</v>
      </c>
      <c r="E191" s="252" t="s">
        <v>134</v>
      </c>
      <c r="F191" s="311"/>
      <c r="G191" s="234">
        <f>SUM(H191:I191)</f>
        <v>560</v>
      </c>
      <c r="H191" s="252" t="s">
        <v>134</v>
      </c>
      <c r="I191" s="311">
        <f>560</f>
        <v>560</v>
      </c>
      <c r="J191" s="234">
        <f>SUM(K191:L191)</f>
        <v>560</v>
      </c>
      <c r="K191" s="252" t="s">
        <v>134</v>
      </c>
      <c r="L191" s="311">
        <f>560</f>
        <v>560</v>
      </c>
    </row>
    <row r="192" spans="1:12" ht="17.25" customHeight="1">
      <c r="A192" s="59">
        <v>5133</v>
      </c>
      <c r="B192" s="253" t="s">
        <v>629</v>
      </c>
      <c r="C192" s="265" t="s">
        <v>630</v>
      </c>
      <c r="D192" s="234">
        <f>SUM(E192:F192)</f>
        <v>0</v>
      </c>
      <c r="E192" s="252" t="s">
        <v>29</v>
      </c>
      <c r="F192" s="311"/>
      <c r="G192" s="234">
        <f>SUM(H192:I192)</f>
        <v>0</v>
      </c>
      <c r="H192" s="252" t="s">
        <v>29</v>
      </c>
      <c r="I192" s="311"/>
      <c r="J192" s="234">
        <f>SUM(K192:L192)</f>
        <v>0</v>
      </c>
      <c r="K192" s="252" t="s">
        <v>29</v>
      </c>
      <c r="L192" s="311"/>
    </row>
    <row r="193" spans="1:12" ht="17.25" customHeight="1">
      <c r="A193" s="59">
        <v>5134</v>
      </c>
      <c r="B193" s="253" t="s">
        <v>631</v>
      </c>
      <c r="C193" s="265" t="s">
        <v>632</v>
      </c>
      <c r="D193" s="234">
        <f>SUM(E193:F193)</f>
        <v>400</v>
      </c>
      <c r="E193" s="252" t="s">
        <v>29</v>
      </c>
      <c r="F193" s="311">
        <f>400</f>
        <v>400</v>
      </c>
      <c r="G193" s="234">
        <f>SUM(H193:I193)</f>
        <v>3930</v>
      </c>
      <c r="H193" s="252" t="s">
        <v>29</v>
      </c>
      <c r="I193" s="311">
        <v>3930</v>
      </c>
      <c r="J193" s="234">
        <f>SUM(K193:L193)</f>
        <v>3930</v>
      </c>
      <c r="K193" s="252" t="s">
        <v>29</v>
      </c>
      <c r="L193" s="311">
        <v>3930</v>
      </c>
    </row>
    <row r="194" spans="1:12" ht="19.5" customHeight="1">
      <c r="A194" s="59">
        <v>5200</v>
      </c>
      <c r="B194" s="255" t="s">
        <v>633</v>
      </c>
      <c r="C194" s="250" t="s">
        <v>345</v>
      </c>
      <c r="D194" s="311">
        <f>SUM(D196:D199)</f>
        <v>0</v>
      </c>
      <c r="E194" s="252" t="s">
        <v>134</v>
      </c>
      <c r="F194" s="311">
        <f>SUM(F196:F199)</f>
        <v>0</v>
      </c>
      <c r="G194" s="311">
        <f>SUM(G196:G199)</f>
        <v>0</v>
      </c>
      <c r="H194" s="252" t="s">
        <v>134</v>
      </c>
      <c r="I194" s="311">
        <f>SUM(I196:I199)</f>
        <v>0</v>
      </c>
      <c r="J194" s="311">
        <f>SUM(J196:J199)</f>
        <v>0</v>
      </c>
      <c r="K194" s="252" t="s">
        <v>134</v>
      </c>
      <c r="L194" s="311">
        <f>SUM(L196:L199)</f>
        <v>0</v>
      </c>
    </row>
    <row r="195" spans="1:12" ht="12.75">
      <c r="A195" s="59"/>
      <c r="B195" s="248" t="s">
        <v>344</v>
      </c>
      <c r="C195" s="246"/>
      <c r="D195" s="311"/>
      <c r="E195" s="311"/>
      <c r="F195" s="311"/>
      <c r="G195" s="311"/>
      <c r="H195" s="311"/>
      <c r="I195" s="311"/>
      <c r="J195" s="311"/>
      <c r="K195" s="311"/>
      <c r="L195" s="311"/>
    </row>
    <row r="196" spans="1:12" ht="27" customHeight="1">
      <c r="A196" s="59">
        <v>5211</v>
      </c>
      <c r="B196" s="253" t="s">
        <v>634</v>
      </c>
      <c r="C196" s="265" t="s">
        <v>635</v>
      </c>
      <c r="D196" s="234">
        <f>SUM(E196:F196)</f>
        <v>0</v>
      </c>
      <c r="E196" s="252" t="s">
        <v>134</v>
      </c>
      <c r="F196" s="311"/>
      <c r="G196" s="234">
        <f>SUM(H196:I196)</f>
        <v>0</v>
      </c>
      <c r="H196" s="252" t="s">
        <v>134</v>
      </c>
      <c r="I196" s="311"/>
      <c r="J196" s="234">
        <f>SUM(K196:L196)</f>
        <v>0</v>
      </c>
      <c r="K196" s="252" t="s">
        <v>134</v>
      </c>
      <c r="L196" s="311"/>
    </row>
    <row r="197" spans="1:12" ht="17.25" customHeight="1">
      <c r="A197" s="59">
        <v>5221</v>
      </c>
      <c r="B197" s="253" t="s">
        <v>636</v>
      </c>
      <c r="C197" s="265" t="s">
        <v>637</v>
      </c>
      <c r="D197" s="234">
        <f>SUM(E197:F197)</f>
        <v>0</v>
      </c>
      <c r="E197" s="252" t="s">
        <v>134</v>
      </c>
      <c r="F197" s="311"/>
      <c r="G197" s="234">
        <f>SUM(H197:I197)</f>
        <v>0</v>
      </c>
      <c r="H197" s="252" t="s">
        <v>134</v>
      </c>
      <c r="I197" s="311"/>
      <c r="J197" s="234">
        <f>SUM(K197:L197)</f>
        <v>0</v>
      </c>
      <c r="K197" s="252" t="s">
        <v>134</v>
      </c>
      <c r="L197" s="311"/>
    </row>
    <row r="198" spans="1:12" ht="24.75" customHeight="1">
      <c r="A198" s="59">
        <v>5231</v>
      </c>
      <c r="B198" s="253" t="s">
        <v>638</v>
      </c>
      <c r="C198" s="265" t="s">
        <v>639</v>
      </c>
      <c r="D198" s="234">
        <f>SUM(E198:F198)</f>
        <v>0</v>
      </c>
      <c r="E198" s="252" t="s">
        <v>134</v>
      </c>
      <c r="F198" s="311"/>
      <c r="G198" s="234">
        <f>SUM(H198:I198)</f>
        <v>0</v>
      </c>
      <c r="H198" s="252" t="s">
        <v>134</v>
      </c>
      <c r="I198" s="311"/>
      <c r="J198" s="234">
        <f>SUM(K198:L198)</f>
        <v>0</v>
      </c>
      <c r="K198" s="252" t="s">
        <v>134</v>
      </c>
      <c r="L198" s="311"/>
    </row>
    <row r="199" spans="1:12" ht="17.25" customHeight="1">
      <c r="A199" s="59">
        <v>5241</v>
      </c>
      <c r="B199" s="253" t="s">
        <v>640</v>
      </c>
      <c r="C199" s="265" t="s">
        <v>641</v>
      </c>
      <c r="D199" s="234">
        <f>SUM(E199:F199)</f>
        <v>0</v>
      </c>
      <c r="E199" s="252" t="s">
        <v>134</v>
      </c>
      <c r="F199" s="311"/>
      <c r="G199" s="234">
        <f>SUM(H199:I199)</f>
        <v>0</v>
      </c>
      <c r="H199" s="252" t="s">
        <v>134</v>
      </c>
      <c r="I199" s="311"/>
      <c r="J199" s="234">
        <f>SUM(K199:L199)</f>
        <v>0</v>
      </c>
      <c r="K199" s="252" t="s">
        <v>134</v>
      </c>
      <c r="L199" s="311"/>
    </row>
    <row r="200" spans="1:12" ht="12.75">
      <c r="A200" s="59">
        <v>5300</v>
      </c>
      <c r="B200" s="255" t="s">
        <v>642</v>
      </c>
      <c r="C200" s="250" t="s">
        <v>345</v>
      </c>
      <c r="D200" s="311">
        <f>SUM(D202)</f>
        <v>0</v>
      </c>
      <c r="E200" s="252" t="s">
        <v>134</v>
      </c>
      <c r="F200" s="311">
        <f>SUM(F202)</f>
        <v>0</v>
      </c>
      <c r="G200" s="311">
        <f>SUM(G202)</f>
        <v>0</v>
      </c>
      <c r="H200" s="252" t="s">
        <v>134</v>
      </c>
      <c r="I200" s="311">
        <f>SUM(I202)</f>
        <v>0</v>
      </c>
      <c r="J200" s="311">
        <f>SUM(J202)</f>
        <v>0</v>
      </c>
      <c r="K200" s="252" t="s">
        <v>134</v>
      </c>
      <c r="L200" s="311">
        <f>SUM(L202)</f>
        <v>0</v>
      </c>
    </row>
    <row r="201" spans="1:12" ht="12.75">
      <c r="A201" s="59"/>
      <c r="B201" s="248" t="s">
        <v>344</v>
      </c>
      <c r="C201" s="246"/>
      <c r="D201" s="311"/>
      <c r="E201" s="311"/>
      <c r="F201" s="311"/>
      <c r="G201" s="311"/>
      <c r="H201" s="311"/>
      <c r="I201" s="311"/>
      <c r="J201" s="311"/>
      <c r="K201" s="311"/>
      <c r="L201" s="311"/>
    </row>
    <row r="202" spans="1:12" ht="13.5" customHeight="1">
      <c r="A202" s="59">
        <v>5311</v>
      </c>
      <c r="B202" s="253" t="s">
        <v>643</v>
      </c>
      <c r="C202" s="265" t="s">
        <v>644</v>
      </c>
      <c r="D202" s="234">
        <f>SUM(E202:F202)</f>
        <v>0</v>
      </c>
      <c r="E202" s="252" t="s">
        <v>134</v>
      </c>
      <c r="F202" s="311"/>
      <c r="G202" s="234">
        <f>SUM(H202:I202)</f>
        <v>0</v>
      </c>
      <c r="H202" s="252" t="s">
        <v>134</v>
      </c>
      <c r="I202" s="311"/>
      <c r="J202" s="234">
        <f>SUM(K202:L202)</f>
        <v>0</v>
      </c>
      <c r="K202" s="252" t="s">
        <v>134</v>
      </c>
      <c r="L202" s="311"/>
    </row>
    <row r="203" spans="1:12" ht="21">
      <c r="A203" s="59">
        <v>5400</v>
      </c>
      <c r="B203" s="255" t="s">
        <v>645</v>
      </c>
      <c r="C203" s="250" t="s">
        <v>345</v>
      </c>
      <c r="D203" s="311">
        <f>SUM(D205:D208)</f>
        <v>0</v>
      </c>
      <c r="E203" s="252" t="s">
        <v>134</v>
      </c>
      <c r="F203" s="311">
        <f>SUM(F205:F208)</f>
        <v>0</v>
      </c>
      <c r="G203" s="311">
        <f>SUM(G205:G208)</f>
        <v>0</v>
      </c>
      <c r="H203" s="252" t="s">
        <v>134</v>
      </c>
      <c r="I203" s="311">
        <f>SUM(I205:I208)</f>
        <v>0</v>
      </c>
      <c r="J203" s="311">
        <f>SUM(J205:J208)</f>
        <v>0</v>
      </c>
      <c r="K203" s="252" t="s">
        <v>134</v>
      </c>
      <c r="L203" s="311">
        <f>SUM(L205:L208)</f>
        <v>0</v>
      </c>
    </row>
    <row r="204" spans="1:12" ht="12.75">
      <c r="A204" s="59"/>
      <c r="B204" s="248" t="s">
        <v>344</v>
      </c>
      <c r="C204" s="246"/>
      <c r="D204" s="311"/>
      <c r="E204" s="311"/>
      <c r="F204" s="311"/>
      <c r="G204" s="311"/>
      <c r="H204" s="311"/>
      <c r="I204" s="311"/>
      <c r="J204" s="311"/>
      <c r="K204" s="311"/>
      <c r="L204" s="311"/>
    </row>
    <row r="205" spans="1:12" ht="12.75">
      <c r="A205" s="59">
        <v>5411</v>
      </c>
      <c r="B205" s="253" t="s">
        <v>646</v>
      </c>
      <c r="C205" s="265" t="s">
        <v>647</v>
      </c>
      <c r="D205" s="234">
        <f>SUM(E205:F205)</f>
        <v>0</v>
      </c>
      <c r="E205" s="252" t="s">
        <v>134</v>
      </c>
      <c r="F205" s="311"/>
      <c r="G205" s="234">
        <f>SUM(H205:I205)</f>
        <v>0</v>
      </c>
      <c r="H205" s="252" t="s">
        <v>134</v>
      </c>
      <c r="I205" s="311"/>
      <c r="J205" s="234">
        <f>SUM(K205:L205)</f>
        <v>0</v>
      </c>
      <c r="K205" s="252" t="s">
        <v>134</v>
      </c>
      <c r="L205" s="311"/>
    </row>
    <row r="206" spans="1:12" ht="12.75">
      <c r="A206" s="59">
        <v>5421</v>
      </c>
      <c r="B206" s="253" t="s">
        <v>648</v>
      </c>
      <c r="C206" s="265" t="s">
        <v>649</v>
      </c>
      <c r="D206" s="234">
        <f>SUM(E206:F206)</f>
        <v>0</v>
      </c>
      <c r="E206" s="252" t="s">
        <v>134</v>
      </c>
      <c r="F206" s="311"/>
      <c r="G206" s="234">
        <f>SUM(H206:I206)</f>
        <v>0</v>
      </c>
      <c r="H206" s="252" t="s">
        <v>134</v>
      </c>
      <c r="I206" s="311"/>
      <c r="J206" s="234">
        <f>SUM(K206:L206)</f>
        <v>0</v>
      </c>
      <c r="K206" s="252" t="s">
        <v>134</v>
      </c>
      <c r="L206" s="311"/>
    </row>
    <row r="207" spans="1:12" ht="12.75">
      <c r="A207" s="59">
        <v>5431</v>
      </c>
      <c r="B207" s="253" t="s">
        <v>650</v>
      </c>
      <c r="C207" s="265" t="s">
        <v>651</v>
      </c>
      <c r="D207" s="234">
        <f>SUM(E207:F207)</f>
        <v>0</v>
      </c>
      <c r="E207" s="252" t="s">
        <v>134</v>
      </c>
      <c r="F207" s="311"/>
      <c r="G207" s="234">
        <f>SUM(H207:I207)</f>
        <v>0</v>
      </c>
      <c r="H207" s="252" t="s">
        <v>134</v>
      </c>
      <c r="I207" s="311"/>
      <c r="J207" s="234">
        <f>SUM(K207:L207)</f>
        <v>0</v>
      </c>
      <c r="K207" s="252" t="s">
        <v>134</v>
      </c>
      <c r="L207" s="311"/>
    </row>
    <row r="208" spans="1:12" ht="12.75">
      <c r="A208" s="59">
        <v>5441</v>
      </c>
      <c r="B208" s="267" t="s">
        <v>652</v>
      </c>
      <c r="C208" s="265" t="s">
        <v>653</v>
      </c>
      <c r="D208" s="234">
        <f>SUM(E208:F208)</f>
        <v>0</v>
      </c>
      <c r="E208" s="252" t="s">
        <v>134</v>
      </c>
      <c r="F208" s="311"/>
      <c r="G208" s="234">
        <f>SUM(H208:I208)</f>
        <v>0</v>
      </c>
      <c r="H208" s="252" t="s">
        <v>134</v>
      </c>
      <c r="I208" s="311"/>
      <c r="J208" s="234">
        <f>SUM(K208:L208)</f>
        <v>0</v>
      </c>
      <c r="K208" s="252" t="s">
        <v>134</v>
      </c>
      <c r="L208" s="311"/>
    </row>
    <row r="209" spans="1:13" s="95" customFormat="1" ht="27.75" customHeight="1">
      <c r="A209" s="268" t="s">
        <v>654</v>
      </c>
      <c r="B209" s="269" t="s">
        <v>408</v>
      </c>
      <c r="C209" s="268" t="s">
        <v>345</v>
      </c>
      <c r="D209" s="234">
        <f>SUM(D211,D216,D224,D227)</f>
        <v>-60000</v>
      </c>
      <c r="E209" s="234" t="s">
        <v>655</v>
      </c>
      <c r="F209" s="234">
        <f>SUM(F211,F216,F224,F227)</f>
        <v>-60000</v>
      </c>
      <c r="G209" s="234">
        <f>SUM(G211,G216,G224,G227)</f>
        <v>-140000</v>
      </c>
      <c r="H209" s="234" t="s">
        <v>655</v>
      </c>
      <c r="I209" s="234">
        <f>SUM(I211,I216,I224,I227)</f>
        <v>-140000</v>
      </c>
      <c r="J209" s="234">
        <f>SUM(J211,J216,J224,J227)</f>
        <v>-86107.445</v>
      </c>
      <c r="K209" s="234" t="s">
        <v>655</v>
      </c>
      <c r="L209" s="234">
        <f>SUM(L211,L216,L224,L227)</f>
        <v>-86107.445</v>
      </c>
      <c r="M209" s="306"/>
    </row>
    <row r="210" spans="1:12" s="95" customFormat="1" ht="12.75">
      <c r="A210" s="268"/>
      <c r="B210" s="266" t="s">
        <v>21</v>
      </c>
      <c r="C210" s="268"/>
      <c r="D210" s="234"/>
      <c r="E210" s="234"/>
      <c r="F210" s="234"/>
      <c r="G210" s="234"/>
      <c r="H210" s="234"/>
      <c r="I210" s="234"/>
      <c r="J210" s="234"/>
      <c r="K210" s="234"/>
      <c r="L210" s="234"/>
    </row>
    <row r="211" spans="1:12" s="11" customFormat="1" ht="21.75">
      <c r="A211" s="270" t="s">
        <v>656</v>
      </c>
      <c r="B211" s="269" t="s">
        <v>409</v>
      </c>
      <c r="C211" s="250" t="s">
        <v>345</v>
      </c>
      <c r="D211" s="234">
        <f>SUM(D213:D215)</f>
        <v>-2000</v>
      </c>
      <c r="E211" s="234" t="s">
        <v>655</v>
      </c>
      <c r="F211" s="234">
        <f>SUM(F213:F215)</f>
        <v>-2000</v>
      </c>
      <c r="G211" s="234">
        <f>SUM(G213:G215)</f>
        <v>-2000</v>
      </c>
      <c r="H211" s="234" t="s">
        <v>655</v>
      </c>
      <c r="I211" s="234">
        <f>SUM(I213:I215)</f>
        <v>-2000</v>
      </c>
      <c r="J211" s="234">
        <f>SUM(J213:J215)</f>
        <v>-40603.335</v>
      </c>
      <c r="K211" s="234" t="s">
        <v>655</v>
      </c>
      <c r="L211" s="234">
        <f>SUM(L213:L215)</f>
        <v>-40603.335</v>
      </c>
    </row>
    <row r="212" spans="1:12" s="11" customFormat="1" ht="12.75">
      <c r="A212" s="270"/>
      <c r="B212" s="266" t="s">
        <v>21</v>
      </c>
      <c r="C212" s="250"/>
      <c r="D212" s="234"/>
      <c r="E212" s="234"/>
      <c r="F212" s="234"/>
      <c r="G212" s="234"/>
      <c r="H212" s="234"/>
      <c r="I212" s="234"/>
      <c r="J212" s="234"/>
      <c r="K212" s="234"/>
      <c r="L212" s="234"/>
    </row>
    <row r="213" spans="1:12" s="11" customFormat="1" ht="12.75">
      <c r="A213" s="270" t="s">
        <v>657</v>
      </c>
      <c r="B213" s="271" t="s">
        <v>658</v>
      </c>
      <c r="C213" s="270" t="s">
        <v>659</v>
      </c>
      <c r="D213" s="234">
        <f>SUM(E213:F213)</f>
        <v>0</v>
      </c>
      <c r="E213" s="234" t="s">
        <v>29</v>
      </c>
      <c r="F213" s="234"/>
      <c r="G213" s="234">
        <f>SUM(H213:I213)</f>
        <v>0</v>
      </c>
      <c r="H213" s="234" t="s">
        <v>29</v>
      </c>
      <c r="I213" s="234"/>
      <c r="J213" s="234">
        <f>SUM(K213:L213)</f>
        <v>0</v>
      </c>
      <c r="K213" s="234" t="s">
        <v>29</v>
      </c>
      <c r="L213" s="234"/>
    </row>
    <row r="214" spans="1:12" s="117" customFormat="1" ht="12.75">
      <c r="A214" s="270" t="s">
        <v>660</v>
      </c>
      <c r="B214" s="271" t="s">
        <v>661</v>
      </c>
      <c r="C214" s="270" t="s">
        <v>662</v>
      </c>
      <c r="D214" s="234">
        <f>SUM(E214:F214)</f>
        <v>0</v>
      </c>
      <c r="E214" s="234" t="s">
        <v>29</v>
      </c>
      <c r="F214" s="272"/>
      <c r="G214" s="234">
        <f>SUM(H214:I214)</f>
        <v>0</v>
      </c>
      <c r="H214" s="234" t="s">
        <v>29</v>
      </c>
      <c r="I214" s="272"/>
      <c r="J214" s="234">
        <f>SUM(K214:L214)</f>
        <v>0</v>
      </c>
      <c r="K214" s="234" t="s">
        <v>29</v>
      </c>
      <c r="L214" s="272"/>
    </row>
    <row r="215" spans="1:12" s="11" customFormat="1" ht="13.5" customHeight="1">
      <c r="A215" s="57" t="s">
        <v>663</v>
      </c>
      <c r="B215" s="271" t="s">
        <v>664</v>
      </c>
      <c r="C215" s="270" t="s">
        <v>665</v>
      </c>
      <c r="D215" s="234">
        <f>SUM(E215:F215)</f>
        <v>-2000</v>
      </c>
      <c r="E215" s="234" t="s">
        <v>655</v>
      </c>
      <c r="F215" s="234">
        <f>-2000</f>
        <v>-2000</v>
      </c>
      <c r="G215" s="234">
        <f>SUM(H215:I215)</f>
        <v>-2000</v>
      </c>
      <c r="H215" s="234" t="s">
        <v>655</v>
      </c>
      <c r="I215" s="234">
        <f>-2000</f>
        <v>-2000</v>
      </c>
      <c r="J215" s="234">
        <f>SUM(K215:L215)</f>
        <v>-40603.335</v>
      </c>
      <c r="K215" s="234" t="s">
        <v>655</v>
      </c>
      <c r="L215" s="234">
        <v>-40603.335</v>
      </c>
    </row>
    <row r="216" spans="1:12" s="11" customFormat="1" ht="11.25" customHeight="1">
      <c r="A216" s="57" t="s">
        <v>666</v>
      </c>
      <c r="B216" s="269" t="s">
        <v>410</v>
      </c>
      <c r="C216" s="250" t="s">
        <v>345</v>
      </c>
      <c r="D216" s="234">
        <f>SUM(D218:D219)</f>
        <v>0</v>
      </c>
      <c r="E216" s="234" t="s">
        <v>655</v>
      </c>
      <c r="F216" s="234">
        <f>SUM(F218:F219)</f>
        <v>0</v>
      </c>
      <c r="G216" s="234">
        <f>SUM(G218:G219)</f>
        <v>0</v>
      </c>
      <c r="H216" s="234" t="s">
        <v>655</v>
      </c>
      <c r="I216" s="234">
        <f>SUM(I218:I219)</f>
        <v>0</v>
      </c>
      <c r="J216" s="234">
        <f>SUM(J218:J219)</f>
        <v>0</v>
      </c>
      <c r="K216" s="234" t="s">
        <v>655</v>
      </c>
      <c r="L216" s="234">
        <f>SUM(L218:L219)</f>
        <v>0</v>
      </c>
    </row>
    <row r="217" spans="1:12" s="11" customFormat="1" ht="12.75">
      <c r="A217" s="57"/>
      <c r="B217" s="266" t="s">
        <v>21</v>
      </c>
      <c r="C217" s="250"/>
      <c r="D217" s="234"/>
      <c r="E217" s="234"/>
      <c r="F217" s="234"/>
      <c r="G217" s="234"/>
      <c r="H217" s="234"/>
      <c r="I217" s="234"/>
      <c r="J217" s="234"/>
      <c r="K217" s="234"/>
      <c r="L217" s="234"/>
    </row>
    <row r="218" spans="1:12" s="11" customFormat="1" ht="19.5" customHeight="1">
      <c r="A218" s="57" t="s">
        <v>667</v>
      </c>
      <c r="B218" s="271" t="s">
        <v>668</v>
      </c>
      <c r="C218" s="250" t="s">
        <v>669</v>
      </c>
      <c r="D218" s="234">
        <f>SUM(E218:F218)</f>
        <v>0</v>
      </c>
      <c r="E218" s="234" t="s">
        <v>655</v>
      </c>
      <c r="F218" s="234"/>
      <c r="G218" s="234">
        <f>SUM(H218:I218)</f>
        <v>0</v>
      </c>
      <c r="H218" s="234" t="s">
        <v>655</v>
      </c>
      <c r="I218" s="234"/>
      <c r="J218" s="234">
        <f>SUM(K218:L218)</f>
        <v>0</v>
      </c>
      <c r="K218" s="234" t="s">
        <v>655</v>
      </c>
      <c r="L218" s="234"/>
    </row>
    <row r="219" spans="1:12" s="11" customFormat="1" ht="21.75">
      <c r="A219" s="57" t="s">
        <v>670</v>
      </c>
      <c r="B219" s="271" t="s">
        <v>411</v>
      </c>
      <c r="C219" s="250" t="s">
        <v>345</v>
      </c>
      <c r="D219" s="234">
        <f>SUM(D221:D223)</f>
        <v>0</v>
      </c>
      <c r="E219" s="234" t="s">
        <v>655</v>
      </c>
      <c r="F219" s="234">
        <f>SUM(F221:F223)</f>
        <v>0</v>
      </c>
      <c r="G219" s="234">
        <f>SUM(G221:G223)</f>
        <v>0</v>
      </c>
      <c r="H219" s="234" t="s">
        <v>655</v>
      </c>
      <c r="I219" s="234">
        <f>SUM(I221:I223)</f>
        <v>0</v>
      </c>
      <c r="J219" s="234">
        <f>SUM(J221:J223)</f>
        <v>0</v>
      </c>
      <c r="K219" s="234" t="s">
        <v>655</v>
      </c>
      <c r="L219" s="234">
        <f>SUM(L221:L223)</f>
        <v>0</v>
      </c>
    </row>
    <row r="220" spans="1:12" s="11" customFormat="1" ht="12.75">
      <c r="A220" s="57"/>
      <c r="B220" s="266" t="s">
        <v>139</v>
      </c>
      <c r="C220" s="250"/>
      <c r="D220" s="234"/>
      <c r="E220" s="234"/>
      <c r="F220" s="234"/>
      <c r="G220" s="234"/>
      <c r="H220" s="234"/>
      <c r="I220" s="234"/>
      <c r="J220" s="234"/>
      <c r="K220" s="234"/>
      <c r="L220" s="234"/>
    </row>
    <row r="221" spans="1:12" s="11" customFormat="1" ht="12.75">
      <c r="A221" s="57" t="s">
        <v>673</v>
      </c>
      <c r="B221" s="266" t="s">
        <v>674</v>
      </c>
      <c r="C221" s="270" t="s">
        <v>675</v>
      </c>
      <c r="D221" s="234">
        <f>SUM(E221:F221)</f>
        <v>0</v>
      </c>
      <c r="E221" s="234" t="s">
        <v>29</v>
      </c>
      <c r="F221" s="234"/>
      <c r="G221" s="234">
        <f>SUM(H221:I221)</f>
        <v>0</v>
      </c>
      <c r="H221" s="234" t="s">
        <v>29</v>
      </c>
      <c r="I221" s="234"/>
      <c r="J221" s="234">
        <f>SUM(K221:L221)</f>
        <v>0</v>
      </c>
      <c r="K221" s="234" t="s">
        <v>29</v>
      </c>
      <c r="L221" s="234"/>
    </row>
    <row r="222" spans="1:12" s="11" customFormat="1" ht="12.75">
      <c r="A222" s="273" t="s">
        <v>676</v>
      </c>
      <c r="B222" s="266" t="s">
        <v>677</v>
      </c>
      <c r="C222" s="250" t="s">
        <v>678</v>
      </c>
      <c r="D222" s="234">
        <f>SUM(E222:F222)</f>
        <v>0</v>
      </c>
      <c r="E222" s="234" t="s">
        <v>655</v>
      </c>
      <c r="F222" s="234"/>
      <c r="G222" s="234">
        <f>SUM(H222:I222)</f>
        <v>0</v>
      </c>
      <c r="H222" s="234" t="s">
        <v>655</v>
      </c>
      <c r="I222" s="234"/>
      <c r="J222" s="234">
        <f>SUM(K222:L222)</f>
        <v>0</v>
      </c>
      <c r="K222" s="234" t="s">
        <v>655</v>
      </c>
      <c r="L222" s="234"/>
    </row>
    <row r="223" spans="1:12" s="11" customFormat="1" ht="21.75">
      <c r="A223" s="57" t="s">
        <v>679</v>
      </c>
      <c r="B223" s="261" t="s">
        <v>680</v>
      </c>
      <c r="C223" s="250" t="s">
        <v>681</v>
      </c>
      <c r="D223" s="234">
        <f>SUM(E223:F223)</f>
        <v>0</v>
      </c>
      <c r="E223" s="234" t="s">
        <v>655</v>
      </c>
      <c r="F223" s="234"/>
      <c r="G223" s="234">
        <f>SUM(H223:I223)</f>
        <v>0</v>
      </c>
      <c r="H223" s="234" t="s">
        <v>655</v>
      </c>
      <c r="I223" s="234"/>
      <c r="J223" s="234">
        <f>SUM(K223:L223)</f>
        <v>0</v>
      </c>
      <c r="K223" s="234" t="s">
        <v>655</v>
      </c>
      <c r="L223" s="234"/>
    </row>
    <row r="224" spans="1:12" s="11" customFormat="1" ht="21.75">
      <c r="A224" s="57" t="s">
        <v>682</v>
      </c>
      <c r="B224" s="269" t="s">
        <v>412</v>
      </c>
      <c r="C224" s="250" t="s">
        <v>345</v>
      </c>
      <c r="D224" s="234">
        <f>SUM(D226)</f>
        <v>0</v>
      </c>
      <c r="E224" s="234" t="s">
        <v>655</v>
      </c>
      <c r="F224" s="234">
        <f>SUM(F226)</f>
        <v>0</v>
      </c>
      <c r="G224" s="234">
        <f>SUM(G226)</f>
        <v>0</v>
      </c>
      <c r="H224" s="234" t="s">
        <v>655</v>
      </c>
      <c r="I224" s="234">
        <f>SUM(I226)</f>
        <v>0</v>
      </c>
      <c r="J224" s="234">
        <f>SUM(J226)</f>
        <v>0</v>
      </c>
      <c r="K224" s="234" t="s">
        <v>655</v>
      </c>
      <c r="L224" s="234">
        <f>SUM(L226)</f>
        <v>0</v>
      </c>
    </row>
    <row r="225" spans="1:12" s="11" customFormat="1" ht="12.75">
      <c r="A225" s="57"/>
      <c r="B225" s="266" t="s">
        <v>21</v>
      </c>
      <c r="C225" s="250"/>
      <c r="D225" s="234"/>
      <c r="E225" s="234"/>
      <c r="F225" s="234"/>
      <c r="G225" s="234"/>
      <c r="H225" s="234"/>
      <c r="I225" s="234"/>
      <c r="J225" s="234"/>
      <c r="K225" s="234"/>
      <c r="L225" s="234"/>
    </row>
    <row r="226" spans="1:12" s="11" customFormat="1" ht="12.75">
      <c r="A226" s="273" t="s">
        <v>683</v>
      </c>
      <c r="B226" s="271" t="s">
        <v>684</v>
      </c>
      <c r="C226" s="268" t="s">
        <v>685</v>
      </c>
      <c r="D226" s="234">
        <f>SUM(E226:F226)</f>
        <v>0</v>
      </c>
      <c r="E226" s="234" t="s">
        <v>655</v>
      </c>
      <c r="F226" s="234"/>
      <c r="G226" s="234">
        <f>SUM(H226:I226)</f>
        <v>0</v>
      </c>
      <c r="H226" s="234" t="s">
        <v>655</v>
      </c>
      <c r="I226" s="234"/>
      <c r="J226" s="234">
        <f>SUM(K226:L226)</f>
        <v>0</v>
      </c>
      <c r="K226" s="234" t="s">
        <v>655</v>
      </c>
      <c r="L226" s="234"/>
    </row>
    <row r="227" spans="1:12" s="11" customFormat="1" ht="32.25">
      <c r="A227" s="57" t="s">
        <v>686</v>
      </c>
      <c r="B227" s="269" t="s">
        <v>413</v>
      </c>
      <c r="C227" s="250" t="s">
        <v>345</v>
      </c>
      <c r="D227" s="234">
        <f>SUM(D229:D232)</f>
        <v>-58000</v>
      </c>
      <c r="E227" s="234" t="s">
        <v>655</v>
      </c>
      <c r="F227" s="234">
        <f>SUM(F229:F232)</f>
        <v>-58000</v>
      </c>
      <c r="G227" s="234">
        <f>SUM(G229:G232)</f>
        <v>-138000</v>
      </c>
      <c r="H227" s="234" t="s">
        <v>655</v>
      </c>
      <c r="I227" s="234">
        <f>SUM(I229:I232)</f>
        <v>-138000</v>
      </c>
      <c r="J227" s="234">
        <f>SUM(J229:J232)</f>
        <v>-45504.11</v>
      </c>
      <c r="K227" s="234" t="s">
        <v>655</v>
      </c>
      <c r="L227" s="234">
        <f>SUM(L229:L232)</f>
        <v>-45504.11</v>
      </c>
    </row>
    <row r="228" spans="1:12" s="11" customFormat="1" ht="12.75">
      <c r="A228" s="57"/>
      <c r="B228" s="266" t="s">
        <v>21</v>
      </c>
      <c r="C228" s="250"/>
      <c r="D228" s="234"/>
      <c r="E228" s="234"/>
      <c r="F228" s="234"/>
      <c r="G228" s="234"/>
      <c r="H228" s="234"/>
      <c r="I228" s="234"/>
      <c r="J228" s="234"/>
      <c r="K228" s="234"/>
      <c r="L228" s="234"/>
    </row>
    <row r="229" spans="1:12" s="11" customFormat="1" ht="12.75">
      <c r="A229" s="57" t="s">
        <v>687</v>
      </c>
      <c r="B229" s="271" t="s">
        <v>688</v>
      </c>
      <c r="C229" s="270" t="s">
        <v>689</v>
      </c>
      <c r="D229" s="234">
        <f>SUM(E229:F229)</f>
        <v>-58000</v>
      </c>
      <c r="E229" s="234" t="s">
        <v>655</v>
      </c>
      <c r="F229" s="234">
        <f>-58000</f>
        <v>-58000</v>
      </c>
      <c r="G229" s="234">
        <f>SUM(H229:I229)</f>
        <v>-138000</v>
      </c>
      <c r="H229" s="234" t="s">
        <v>655</v>
      </c>
      <c r="I229" s="234">
        <f>-58000-80000</f>
        <v>-138000</v>
      </c>
      <c r="J229" s="234">
        <f>SUM(K229:L229)</f>
        <v>-45504.11</v>
      </c>
      <c r="K229" s="234" t="s">
        <v>655</v>
      </c>
      <c r="L229" s="234">
        <v>-45504.11</v>
      </c>
    </row>
    <row r="230" spans="1:12" s="11" customFormat="1" ht="15.75" customHeight="1">
      <c r="A230" s="273" t="s">
        <v>690</v>
      </c>
      <c r="B230" s="271" t="s">
        <v>691</v>
      </c>
      <c r="C230" s="268" t="s">
        <v>692</v>
      </c>
      <c r="D230" s="234">
        <f>SUM(E230:F230)</f>
        <v>0</v>
      </c>
      <c r="E230" s="234" t="s">
        <v>655</v>
      </c>
      <c r="F230" s="234"/>
      <c r="G230" s="234">
        <f>SUM(H230:I230)</f>
        <v>0</v>
      </c>
      <c r="H230" s="234" t="s">
        <v>655</v>
      </c>
      <c r="I230" s="234"/>
      <c r="J230" s="234">
        <f>SUM(K230:L230)</f>
        <v>0</v>
      </c>
      <c r="K230" s="234" t="s">
        <v>655</v>
      </c>
      <c r="L230" s="234"/>
    </row>
    <row r="231" spans="1:12" s="11" customFormat="1" ht="21.75">
      <c r="A231" s="57" t="s">
        <v>693</v>
      </c>
      <c r="B231" s="271" t="s">
        <v>694</v>
      </c>
      <c r="C231" s="250" t="s">
        <v>695</v>
      </c>
      <c r="D231" s="234">
        <f>SUM(E231:F231)</f>
        <v>0</v>
      </c>
      <c r="E231" s="234" t="s">
        <v>655</v>
      </c>
      <c r="F231" s="234"/>
      <c r="G231" s="234">
        <f>SUM(H231:I231)</f>
        <v>0</v>
      </c>
      <c r="H231" s="234" t="s">
        <v>655</v>
      </c>
      <c r="I231" s="234"/>
      <c r="J231" s="234">
        <f>SUM(K231:L231)</f>
        <v>0</v>
      </c>
      <c r="K231" s="234" t="s">
        <v>655</v>
      </c>
      <c r="L231" s="234"/>
    </row>
    <row r="232" spans="1:12" s="11" customFormat="1" ht="21.75">
      <c r="A232" s="57" t="s">
        <v>696</v>
      </c>
      <c r="B232" s="271" t="s">
        <v>697</v>
      </c>
      <c r="C232" s="250" t="s">
        <v>698</v>
      </c>
      <c r="D232" s="234">
        <f>SUM(E232:F232)</f>
        <v>0</v>
      </c>
      <c r="E232" s="234" t="s">
        <v>655</v>
      </c>
      <c r="F232" s="234"/>
      <c r="G232" s="234">
        <f>SUM(H232:I232)</f>
        <v>0</v>
      </c>
      <c r="H232" s="234" t="s">
        <v>655</v>
      </c>
      <c r="I232" s="234"/>
      <c r="J232" s="234">
        <f>SUM(K232:L232)</f>
        <v>0</v>
      </c>
      <c r="K232" s="234" t="s">
        <v>655</v>
      </c>
      <c r="L232" s="234"/>
    </row>
    <row r="233" spans="1:12" ht="12.75">
      <c r="A233" s="314"/>
      <c r="B233" s="314"/>
      <c r="C233" s="314"/>
      <c r="D233" s="314"/>
      <c r="E233" s="314"/>
      <c r="F233" s="314"/>
      <c r="G233" s="314"/>
      <c r="H233" s="314"/>
      <c r="I233" s="314"/>
      <c r="J233" s="314"/>
      <c r="K233" s="315"/>
      <c r="L233" s="315"/>
    </row>
    <row r="234" spans="1:12" s="87" customFormat="1" ht="63" customHeight="1">
      <c r="A234" s="367" t="s">
        <v>699</v>
      </c>
      <c r="B234" s="367"/>
      <c r="C234" s="367"/>
      <c r="D234" s="367"/>
      <c r="E234" s="367"/>
      <c r="F234" s="367"/>
      <c r="G234" s="367"/>
      <c r="H234" s="367"/>
      <c r="I234" s="367"/>
      <c r="J234" s="367"/>
      <c r="K234" s="367"/>
      <c r="L234" s="367"/>
    </row>
    <row r="235" spans="1:12" s="87" customFormat="1" ht="28.5" customHeight="1">
      <c r="A235" s="367" t="s">
        <v>700</v>
      </c>
      <c r="B235" s="367"/>
      <c r="C235" s="367"/>
      <c r="D235" s="367"/>
      <c r="E235" s="367"/>
      <c r="F235" s="367"/>
      <c r="G235" s="367"/>
      <c r="H235" s="367"/>
      <c r="I235" s="367"/>
      <c r="J235" s="367"/>
      <c r="K235" s="367"/>
      <c r="L235" s="367"/>
    </row>
    <row r="236" spans="1:12" s="87" customFormat="1" ht="12.75" customHeight="1">
      <c r="A236" s="365" t="s">
        <v>414</v>
      </c>
      <c r="B236" s="365"/>
      <c r="C236" s="365"/>
      <c r="D236" s="365"/>
      <c r="E236" s="365"/>
      <c r="F236" s="365"/>
      <c r="G236" s="365"/>
      <c r="H236" s="365"/>
      <c r="I236" s="365"/>
      <c r="J236" s="365"/>
      <c r="K236" s="365"/>
      <c r="L236" s="365"/>
    </row>
    <row r="237" spans="1:12" ht="12.75">
      <c r="A237" s="316"/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</row>
    <row r="238" spans="1:12" ht="12.75">
      <c r="A238" s="316"/>
      <c r="B238" s="316"/>
      <c r="C238" s="316"/>
      <c r="D238" s="316"/>
      <c r="E238" s="316"/>
      <c r="F238" s="316"/>
      <c r="G238" s="316"/>
      <c r="H238" s="316"/>
      <c r="I238" s="316"/>
      <c r="J238" s="316"/>
      <c r="K238" s="316"/>
      <c r="L238" s="316"/>
    </row>
    <row r="239" spans="1:12" ht="12.75">
      <c r="A239" s="316"/>
      <c r="B239" s="316"/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</row>
    <row r="240" spans="1:12" ht="12.75">
      <c r="A240" s="316"/>
      <c r="B240" s="316"/>
      <c r="C240" s="316"/>
      <c r="D240" s="316"/>
      <c r="E240" s="316"/>
      <c r="F240" s="316"/>
      <c r="G240" s="316"/>
      <c r="H240" s="316"/>
      <c r="I240" s="316"/>
      <c r="J240" s="316"/>
      <c r="K240" s="316"/>
      <c r="L240" s="316"/>
    </row>
    <row r="241" spans="1:12" ht="12.75">
      <c r="A241" s="316"/>
      <c r="B241" s="316"/>
      <c r="C241" s="316"/>
      <c r="D241" s="316"/>
      <c r="E241" s="316"/>
      <c r="F241" s="316"/>
      <c r="G241" s="316"/>
      <c r="H241" s="316"/>
      <c r="I241" s="316"/>
      <c r="J241" s="316"/>
      <c r="K241" s="316"/>
      <c r="L241" s="316"/>
    </row>
    <row r="242" spans="1:12" ht="12.75">
      <c r="A242" s="316"/>
      <c r="B242" s="316"/>
      <c r="C242" s="316"/>
      <c r="D242" s="316"/>
      <c r="E242" s="316"/>
      <c r="F242" s="316"/>
      <c r="G242" s="316"/>
      <c r="H242" s="316"/>
      <c r="I242" s="316"/>
      <c r="J242" s="316"/>
      <c r="K242" s="316"/>
      <c r="L242" s="316"/>
    </row>
    <row r="243" spans="1:12" ht="12.75">
      <c r="A243" s="316"/>
      <c r="B243" s="316"/>
      <c r="C243" s="316"/>
      <c r="D243" s="316"/>
      <c r="E243" s="316"/>
      <c r="F243" s="316"/>
      <c r="G243" s="316"/>
      <c r="H243" s="316"/>
      <c r="I243" s="316"/>
      <c r="J243" s="316"/>
      <c r="K243" s="316"/>
      <c r="L243" s="316"/>
    </row>
    <row r="244" spans="1:12" ht="12.75">
      <c r="A244" s="316"/>
      <c r="B244" s="316"/>
      <c r="C244" s="316"/>
      <c r="D244" s="316"/>
      <c r="E244" s="316"/>
      <c r="F244" s="316"/>
      <c r="G244" s="316"/>
      <c r="H244" s="316"/>
      <c r="I244" s="316"/>
      <c r="J244" s="316"/>
      <c r="K244" s="316"/>
      <c r="L244" s="316"/>
    </row>
  </sheetData>
  <sheetProtection/>
  <protectedRanges>
    <protectedRange sqref="F202 L202 I202" name="Range21_1"/>
    <protectedRange sqref="E24 K24 H24" name="Range17_1"/>
    <protectedRange sqref="F222:F223 F229:F232 F226 L222:L223 L229:L232 L226 I222:I223 I229:I232 I226 D228:L228 D225:L225" name="Range16_1"/>
    <protectedRange sqref="F190:F193 F205:F208 F196:F199 L190:L193 L205:L208 L196:L199 I190:I193 I205:I208 I196:I199 D201:L201 D204:L204 D195:L195" name="Range14_1"/>
    <protectedRange sqref="E173 E159 E172:F172 E162:E163 E166 E169 K173 K159 K172:L172 K162:K163 K166 K169 H173 H159 H172:I172 H162:H163 H166 H169 D165:L165 D168:L168 D171:L171 D158:L158 D161:L161" name="Range12_1"/>
    <protectedRange sqref="E124:E129 E138:E141 E134:E135 K124:K129 K138:K141 K134:K135 H124:H129 H138:H141 H134:H135 D133:L133 D137:L137 D131:L131" name="Range10_1"/>
    <protectedRange sqref="E100:E101 E104 E108:E109 D107:E107 K100:K101 K104 K108:K109 J107:K107 H100:H101 H104 H108:H109 G107:H107 D103:L103" name="Range8_1"/>
    <protectedRange sqref="E79:E80 E83:E85 K79:K80 K83:K85 H79:H80 H83:H85 D78:L78 D82:L82 D87:L87" name="Range6_1"/>
    <protectedRange sqref="E46:E53 E59:E60 E56 K46:K53 K59:K60 K56 H46:H53 H59:H60 H56 D58:L58 D45:L45 D55:L55" name="Range4_1"/>
    <protectedRange sqref="M1:IV5 A1:L5" name="Range2_1"/>
    <protectedRange sqref="E19:E21 K19:K21 H19:H21 D14:L14 D16:L16 D18:L18 D23:L23 D12:L12" name="Range1_1"/>
    <protectedRange sqref="E32:E38 E27:F27 E41:E43 K32:K38 K27:L27 K41:K43 H32:H38 H27:I27 H41:H43 D40:L40 D26:L26 D29:L29 D31:L31" name="Range3_1"/>
    <protectedRange sqref="E75:E76 E63:E70 K75:K76 K63:K70 H75:H76 H63:H70 D62:L62 D72:L72 D74:L74" name="Range5_1"/>
    <protectedRange sqref="E94:E95 E90:E91 K94:K95 K90:K91 H94:H95 H90:H91 D89:L89 D93:L93 D99:L99 D97:L97" name="Range7_1"/>
    <protectedRange sqref="D111:E111 E120:E122 D113:E113 E114:E118 J111:K111 K120:K122 J113:K113 K114:K118 G111:H111 H120:H122 G113:H113 H114:H118 D119:L119 D123:L123" name="Range9_1"/>
    <protectedRange sqref="E144 E153:E156 E149 K144 K153:K156 K149 H144 H153:H156 H149 D152:L152 D143:L143 D146:L146 D148:L148" name="Range11_1"/>
    <protectedRange sqref="F180:F182 F185:F187 L180:L182 L185:L187 I180:I182 I185:I187 D175:L175 D177:L177 D179:L179 D184:L184 D189:L189" name="Range13_1"/>
    <protectedRange sqref="F213:F215 F221 F218 L213:L215 L221 L218 I213:I215 I221 I218 D220:L220 D210:L210 D212:L212 D217:L217" name="Range15_1"/>
    <protectedRange sqref="E105 K105 H105" name="Range18_1"/>
  </protectedRanges>
  <mergeCells count="15">
    <mergeCell ref="A235:L235"/>
    <mergeCell ref="A7:A9"/>
    <mergeCell ref="B7:C8"/>
    <mergeCell ref="D7:F7"/>
    <mergeCell ref="G7:I7"/>
    <mergeCell ref="A236:L236"/>
    <mergeCell ref="J7:L7"/>
    <mergeCell ref="D8:D9"/>
    <mergeCell ref="G8:G9"/>
    <mergeCell ref="J8:J9"/>
    <mergeCell ref="A2:K2"/>
    <mergeCell ref="A3:L3"/>
    <mergeCell ref="A4:L4"/>
    <mergeCell ref="A5:L5"/>
    <mergeCell ref="A234:L234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57421875" style="11" customWidth="1"/>
    <col min="2" max="2" width="32.140625" style="11" customWidth="1"/>
    <col min="3" max="3" width="9.28125" style="11" customWidth="1"/>
    <col min="4" max="4" width="11.7109375" style="11" customWidth="1"/>
    <col min="5" max="7" width="9.7109375" style="11" customWidth="1"/>
    <col min="8" max="8" width="11.00390625" style="11" customWidth="1"/>
    <col min="9" max="9" width="10.57421875" style="11" customWidth="1"/>
    <col min="10" max="10" width="9.8515625" style="11" customWidth="1"/>
    <col min="11" max="11" width="10.140625" style="11" customWidth="1"/>
    <col min="12" max="16384" width="9.140625" style="11" customWidth="1"/>
  </cols>
  <sheetData>
    <row r="1" spans="1:11" s="87" customFormat="1" ht="12.75">
      <c r="A1" s="119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87" customFormat="1" ht="15">
      <c r="A2" s="361" t="s">
        <v>12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s="87" customFormat="1" ht="15">
      <c r="A3" s="361" t="s">
        <v>701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1" s="87" customFormat="1" ht="12.75" customHeight="1">
      <c r="A4" s="364" t="s">
        <v>760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ht="13.5" thickBot="1">
      <c r="A5" s="120"/>
      <c r="B5" s="120"/>
      <c r="C5" s="120"/>
      <c r="D5" s="120"/>
      <c r="E5" s="36"/>
      <c r="F5" s="36"/>
      <c r="G5" s="36"/>
      <c r="H5" s="36"/>
      <c r="I5" s="36"/>
      <c r="J5" s="36"/>
      <c r="K5" s="13"/>
    </row>
    <row r="6" spans="1:11" ht="13.5" thickBot="1">
      <c r="A6" s="368" t="s">
        <v>702</v>
      </c>
      <c r="B6" s="376"/>
      <c r="C6" s="338" t="s">
        <v>14</v>
      </c>
      <c r="D6" s="338"/>
      <c r="E6" s="339"/>
      <c r="F6" s="340" t="s">
        <v>15</v>
      </c>
      <c r="G6" s="338"/>
      <c r="H6" s="339"/>
      <c r="I6" s="379" t="s">
        <v>16</v>
      </c>
      <c r="J6" s="380"/>
      <c r="K6" s="381"/>
    </row>
    <row r="7" spans="1:11" ht="30" customHeight="1" thickBot="1">
      <c r="A7" s="369"/>
      <c r="B7" s="377"/>
      <c r="C7" s="121" t="s">
        <v>127</v>
      </c>
      <c r="D7" s="122" t="s">
        <v>128</v>
      </c>
      <c r="E7" s="123"/>
      <c r="F7" s="124" t="s">
        <v>127</v>
      </c>
      <c r="G7" s="125" t="s">
        <v>128</v>
      </c>
      <c r="H7" s="126"/>
      <c r="I7" s="124" t="s">
        <v>127</v>
      </c>
      <c r="J7" s="125" t="s">
        <v>128</v>
      </c>
      <c r="K7" s="126"/>
    </row>
    <row r="8" spans="1:11" ht="39" thickBot="1">
      <c r="A8" s="375"/>
      <c r="B8" s="378"/>
      <c r="C8" s="127" t="s">
        <v>703</v>
      </c>
      <c r="D8" s="128" t="s">
        <v>704</v>
      </c>
      <c r="E8" s="128" t="s">
        <v>705</v>
      </c>
      <c r="F8" s="129" t="s">
        <v>129</v>
      </c>
      <c r="G8" s="128" t="s">
        <v>704</v>
      </c>
      <c r="H8" s="128" t="s">
        <v>705</v>
      </c>
      <c r="I8" s="129" t="s">
        <v>132</v>
      </c>
      <c r="J8" s="128" t="s">
        <v>704</v>
      </c>
      <c r="K8" s="128" t="s">
        <v>705</v>
      </c>
    </row>
    <row r="9" spans="1:11" ht="13.5" thickBot="1">
      <c r="A9" s="130">
        <v>1</v>
      </c>
      <c r="B9" s="130">
        <v>2</v>
      </c>
      <c r="C9" s="19">
        <v>3</v>
      </c>
      <c r="D9" s="131">
        <v>4</v>
      </c>
      <c r="E9" s="132">
        <v>5</v>
      </c>
      <c r="F9" s="19">
        <v>6</v>
      </c>
      <c r="G9" s="131">
        <v>7</v>
      </c>
      <c r="H9" s="132">
        <v>8</v>
      </c>
      <c r="I9" s="19">
        <v>9</v>
      </c>
      <c r="J9" s="131">
        <v>10</v>
      </c>
      <c r="K9" s="132">
        <v>11</v>
      </c>
    </row>
    <row r="10" spans="1:11" ht="30" customHeight="1" thickBot="1">
      <c r="A10" s="133">
        <v>8000</v>
      </c>
      <c r="B10" s="134" t="s">
        <v>706</v>
      </c>
      <c r="C10" s="135">
        <f>SUM(D10:E10)</f>
        <v>0</v>
      </c>
      <c r="D10" s="135">
        <f>Mutqer!E9-'Taxs Gorc'!G10</f>
        <v>0</v>
      </c>
      <c r="E10" s="135">
        <f>Mutqer!F9-'Taxs Gorc'!H10</f>
        <v>0</v>
      </c>
      <c r="F10" s="135">
        <f>SUM(G10:H10)</f>
        <v>-7437.572999999971</v>
      </c>
      <c r="G10" s="135">
        <f>Mutqer!H9-'Taxs Gorc'!J10</f>
        <v>0.013000000035390258</v>
      </c>
      <c r="H10" s="135">
        <f>Mutqer!I9-'Taxs Gorc'!K10</f>
        <v>-7437.586000000007</v>
      </c>
      <c r="I10" s="135">
        <f>SUM(J10:K10)</f>
        <v>79837.71499999994</v>
      </c>
      <c r="J10" s="135">
        <f>Mutqer!K9-'Taxs Gorc'!M10</f>
        <v>44117.669999999925</v>
      </c>
      <c r="K10" s="135">
        <f>Mutqer!L9-'Taxs Gorc'!N10</f>
        <v>35720.04500000001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3" ht="12.75">
      <c r="A15" s="36"/>
      <c r="B15" s="136" t="s">
        <v>707</v>
      </c>
      <c r="C15" s="137">
        <f>C10+'Deficit caxs'!D9</f>
        <v>0</v>
      </c>
      <c r="D15" s="137">
        <f>D10+'Deficit caxs'!E9</f>
        <v>0</v>
      </c>
      <c r="E15" s="137">
        <f>E10+'Deficit caxs'!F9</f>
        <v>0</v>
      </c>
      <c r="F15" s="137">
        <f>F10+'Deficit caxs'!G9</f>
        <v>0.012000000028820068</v>
      </c>
      <c r="G15" s="137">
        <f>G10+'Deficit caxs'!H9</f>
        <v>0.013000000035390258</v>
      </c>
      <c r="H15" s="137">
        <f>H10+'Deficit caxs'!I9</f>
        <v>-0.0010000000065701897</v>
      </c>
      <c r="I15" s="137">
        <f>I10+'Deficit caxs'!J9</f>
        <v>0.003999999942607246</v>
      </c>
      <c r="J15" s="137">
        <f>J10+'Deficit caxs'!K9</f>
        <v>0.004999999924621079</v>
      </c>
      <c r="K15" s="137">
        <f>K10+'Deficit caxs'!L9</f>
        <v>-0.0009999999892897904</v>
      </c>
      <c r="M15" s="305"/>
    </row>
    <row r="16" spans="1:11" ht="12.75">
      <c r="A16" s="36"/>
      <c r="B16" s="136" t="s">
        <v>708</v>
      </c>
      <c r="C16" s="137">
        <f>'Taxs Gorc'!F10-'Taxs tnt'!D11</f>
        <v>0</v>
      </c>
      <c r="D16" s="137">
        <f>'Taxs Gorc'!G10-'Taxs tnt'!E11</f>
        <v>0</v>
      </c>
      <c r="E16" s="137">
        <f>'Taxs Gorc'!H10-'Taxs tnt'!F11</f>
        <v>0</v>
      </c>
      <c r="F16" s="137">
        <f>'Taxs Gorc'!I10-'Taxs tnt'!G11</f>
        <v>-0.013000000035390258</v>
      </c>
      <c r="G16" s="137">
        <f>'Taxs Gorc'!J10-'Taxs tnt'!H11</f>
        <v>-0.012999999918974936</v>
      </c>
      <c r="H16" s="137">
        <f>'Taxs Gorc'!K10-'Taxs tnt'!I11</f>
        <v>0</v>
      </c>
      <c r="I16" s="137">
        <f>I11+'Deficit caxs'!J10</f>
        <v>0</v>
      </c>
      <c r="J16" s="137">
        <f>J11+'Deficit caxs'!K10</f>
        <v>0</v>
      </c>
      <c r="K16" s="137">
        <f>K11+'Deficit caxs'!L10</f>
        <v>0</v>
      </c>
    </row>
    <row r="17" spans="1:11" ht="12.75">
      <c r="A17" s="36"/>
      <c r="B17" s="136" t="s">
        <v>709</v>
      </c>
      <c r="C17" s="137">
        <f>'Taxs Gorc'!F309-'Taxs tnt'!D172</f>
        <v>0</v>
      </c>
      <c r="D17" s="137">
        <f>'Taxs Gorc'!G309-'Taxs tnt'!E172</f>
        <v>0</v>
      </c>
      <c r="E17" s="137">
        <f>'Taxs Gorc'!H309-'Taxs tnt'!F172</f>
        <v>0</v>
      </c>
      <c r="F17" s="137">
        <f>'Taxs Gorc'!I309-'Taxs tnt'!G172</f>
        <v>0</v>
      </c>
      <c r="G17" s="137">
        <f>'Taxs Gorc'!J309-'Taxs tnt'!H172</f>
        <v>0</v>
      </c>
      <c r="H17" s="137">
        <f>'Taxs Gorc'!K309-'Taxs tnt'!I172</f>
        <v>0</v>
      </c>
      <c r="I17" s="137">
        <f>'Taxs Gorc'!L309-'Taxs tnt'!J172</f>
        <v>0</v>
      </c>
      <c r="J17" s="137">
        <f>'Taxs Gorc'!M309-'Taxs tnt'!K172</f>
        <v>0</v>
      </c>
      <c r="K17" s="137">
        <f>'Taxs Gorc'!N309-'Taxs tnt'!L172</f>
        <v>0</v>
      </c>
    </row>
    <row r="18" spans="1:11" ht="12.75">
      <c r="A18" s="36"/>
      <c r="B18" s="138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1" ht="12.75">
      <c r="A19" s="36"/>
      <c r="B19" s="138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ht="12.75">
      <c r="A20" s="36"/>
      <c r="B20" s="138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s="140" customFormat="1" ht="33" customHeight="1">
      <c r="A26" s="374" t="s">
        <v>710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41" spans="1:3" ht="12.75">
      <c r="A41" s="10"/>
      <c r="B41" s="141"/>
      <c r="C41" s="142"/>
    </row>
    <row r="42" spans="1:3" ht="12.75">
      <c r="A42" s="10"/>
      <c r="B42" s="143"/>
      <c r="C42" s="142"/>
    </row>
    <row r="43" spans="1:3" ht="12.75">
      <c r="A43" s="10"/>
      <c r="B43" s="141"/>
      <c r="C43" s="142"/>
    </row>
    <row r="44" spans="1:3" ht="12.75">
      <c r="A44" s="10"/>
      <c r="B44" s="141"/>
      <c r="C44" s="142"/>
    </row>
    <row r="45" spans="1:3" ht="12.75">
      <c r="A45" s="10"/>
      <c r="B45" s="141"/>
      <c r="C45" s="142"/>
    </row>
    <row r="46" spans="1:3" ht="12.75">
      <c r="A46" s="10"/>
      <c r="B46" s="141"/>
      <c r="C46" s="142"/>
    </row>
    <row r="47" spans="2:3" ht="12.75">
      <c r="B47" s="141"/>
      <c r="C47" s="142"/>
    </row>
    <row r="48" spans="2:3" ht="12.75">
      <c r="B48" s="141"/>
      <c r="C48" s="142"/>
    </row>
    <row r="49" spans="2:3" ht="12.75">
      <c r="B49" s="141"/>
      <c r="C49" s="142"/>
    </row>
    <row r="50" spans="2:3" ht="12.75">
      <c r="B50" s="141"/>
      <c r="C50" s="142"/>
    </row>
    <row r="51" spans="2:3" ht="12.75">
      <c r="B51" s="141"/>
      <c r="C51" s="142"/>
    </row>
    <row r="52" spans="2:3" ht="12.75">
      <c r="B52" s="141"/>
      <c r="C52" s="142"/>
    </row>
    <row r="53" spans="2:3" ht="12.75">
      <c r="B53" s="141"/>
      <c r="C53" s="142"/>
    </row>
    <row r="54" spans="2:3" ht="12.75">
      <c r="B54" s="141"/>
      <c r="C54" s="142"/>
    </row>
    <row r="55" spans="2:3" ht="12.75">
      <c r="B55" s="141"/>
      <c r="C55" s="142"/>
    </row>
    <row r="56" spans="2:3" ht="12.75">
      <c r="B56" s="141"/>
      <c r="C56" s="142"/>
    </row>
    <row r="57" spans="2:3" ht="12.75">
      <c r="B57" s="141"/>
      <c r="C57" s="142"/>
    </row>
    <row r="58" ht="12.75">
      <c r="B58" s="144"/>
    </row>
    <row r="59" ht="12.75">
      <c r="B59" s="144"/>
    </row>
    <row r="60" ht="12.75">
      <c r="B60" s="144"/>
    </row>
    <row r="61" ht="12.75">
      <c r="B61" s="144"/>
    </row>
    <row r="62" ht="12.75">
      <c r="B62" s="144"/>
    </row>
    <row r="63" ht="12.75">
      <c r="B63" s="144"/>
    </row>
    <row r="64" ht="12.75">
      <c r="B64" s="144"/>
    </row>
    <row r="65" ht="12.75">
      <c r="B65" s="144"/>
    </row>
    <row r="66" ht="12.75">
      <c r="B66" s="144"/>
    </row>
    <row r="67" ht="12.75">
      <c r="B67" s="144"/>
    </row>
    <row r="68" ht="12.75">
      <c r="B68" s="144"/>
    </row>
    <row r="69" ht="12.75">
      <c r="B69" s="144"/>
    </row>
    <row r="70" ht="12.75">
      <c r="B70" s="144"/>
    </row>
    <row r="71" ht="12.75">
      <c r="B71" s="144"/>
    </row>
    <row r="72" ht="12.75">
      <c r="B72" s="144"/>
    </row>
    <row r="73" ht="12.75">
      <c r="B73" s="144"/>
    </row>
    <row r="74" ht="12.75">
      <c r="B74" s="144"/>
    </row>
    <row r="75" ht="12.75">
      <c r="B75" s="144"/>
    </row>
    <row r="76" ht="12.75">
      <c r="B76" s="144"/>
    </row>
    <row r="77" ht="12.75">
      <c r="B77" s="144"/>
    </row>
    <row r="78" ht="12.75">
      <c r="B78" s="144"/>
    </row>
    <row r="79" ht="12.75">
      <c r="B79" s="144"/>
    </row>
    <row r="80" ht="12.75">
      <c r="B80" s="144"/>
    </row>
    <row r="81" ht="12.75">
      <c r="B81" s="144"/>
    </row>
    <row r="82" ht="12.75">
      <c r="B82" s="144"/>
    </row>
    <row r="83" ht="12.75">
      <c r="B83" s="144"/>
    </row>
    <row r="84" ht="12.75">
      <c r="B84" s="144"/>
    </row>
    <row r="85" ht="12.75">
      <c r="B85" s="144"/>
    </row>
    <row r="86" ht="12.75">
      <c r="B86" s="144"/>
    </row>
    <row r="87" ht="12.75">
      <c r="B87" s="144"/>
    </row>
    <row r="88" ht="12.75">
      <c r="B88" s="144"/>
    </row>
    <row r="89" ht="12.75">
      <c r="B89" s="144"/>
    </row>
    <row r="90" ht="12.75">
      <c r="B90" s="144"/>
    </row>
    <row r="91" ht="12.75">
      <c r="B91" s="144"/>
    </row>
    <row r="92" ht="12.75">
      <c r="B92" s="144"/>
    </row>
    <row r="93" ht="12.75">
      <c r="B93" s="144"/>
    </row>
    <row r="94" ht="12.75">
      <c r="B94" s="144"/>
    </row>
    <row r="95" ht="12.75">
      <c r="B95" s="144"/>
    </row>
    <row r="96" ht="12.75">
      <c r="B96" s="144"/>
    </row>
    <row r="97" ht="12.75">
      <c r="B97" s="144"/>
    </row>
    <row r="98" ht="12.75">
      <c r="B98" s="144"/>
    </row>
    <row r="99" ht="12.75">
      <c r="B99" s="144"/>
    </row>
    <row r="100" ht="12.75">
      <c r="B100" s="144"/>
    </row>
    <row r="101" ht="12.75">
      <c r="B101" s="144"/>
    </row>
    <row r="102" ht="12.75">
      <c r="B102" s="144"/>
    </row>
    <row r="103" ht="12.75">
      <c r="B103" s="144"/>
    </row>
    <row r="104" ht="12.75">
      <c r="B104" s="144"/>
    </row>
    <row r="105" ht="12.75">
      <c r="B105" s="144"/>
    </row>
    <row r="106" ht="12.75">
      <c r="B106" s="144"/>
    </row>
    <row r="107" ht="12.75">
      <c r="B107" s="144"/>
    </row>
    <row r="108" ht="12.75">
      <c r="B108" s="144"/>
    </row>
    <row r="109" ht="12.75">
      <c r="B109" s="144"/>
    </row>
    <row r="110" ht="12.75">
      <c r="B110" s="144"/>
    </row>
    <row r="111" ht="12.75">
      <c r="B111" s="144"/>
    </row>
    <row r="112" ht="12.75">
      <c r="B112" s="144"/>
    </row>
    <row r="113" ht="12.75">
      <c r="B113" s="144"/>
    </row>
    <row r="114" ht="12.75">
      <c r="B114" s="144"/>
    </row>
    <row r="115" ht="12.75">
      <c r="B115" s="144"/>
    </row>
    <row r="116" ht="12.75">
      <c r="B116" s="144"/>
    </row>
    <row r="117" ht="12.75">
      <c r="B117" s="144"/>
    </row>
    <row r="118" ht="12.75">
      <c r="B118" s="144"/>
    </row>
    <row r="119" ht="12.75">
      <c r="B119" s="144"/>
    </row>
    <row r="120" ht="12.75">
      <c r="B120" s="144"/>
    </row>
    <row r="121" ht="12.75">
      <c r="B121" s="144"/>
    </row>
    <row r="122" ht="12.75">
      <c r="B122" s="144"/>
    </row>
    <row r="123" ht="12.75">
      <c r="B123" s="144"/>
    </row>
    <row r="124" ht="12.75">
      <c r="B124" s="144"/>
    </row>
    <row r="125" ht="12.75">
      <c r="B125" s="144"/>
    </row>
    <row r="126" ht="12.75">
      <c r="B126" s="144"/>
    </row>
    <row r="127" ht="12.75">
      <c r="B127" s="144"/>
    </row>
    <row r="128" ht="12.75">
      <c r="B128" s="144"/>
    </row>
    <row r="129" ht="12.75">
      <c r="B129" s="144"/>
    </row>
    <row r="130" ht="12.75">
      <c r="B130" s="144"/>
    </row>
    <row r="131" ht="12.75">
      <c r="B131" s="144"/>
    </row>
    <row r="132" ht="12.75">
      <c r="B132" s="144"/>
    </row>
    <row r="133" ht="12.75">
      <c r="B133" s="144"/>
    </row>
    <row r="134" ht="12.75">
      <c r="B134" s="144"/>
    </row>
    <row r="135" ht="12.75">
      <c r="B135" s="144"/>
    </row>
    <row r="136" ht="12.75">
      <c r="B136" s="144"/>
    </row>
    <row r="137" ht="12.75">
      <c r="B137" s="144"/>
    </row>
    <row r="138" ht="12.75">
      <c r="B138" s="144"/>
    </row>
    <row r="139" ht="12.75">
      <c r="B139" s="144"/>
    </row>
    <row r="140" ht="12.75">
      <c r="B140" s="144"/>
    </row>
    <row r="141" ht="12.75">
      <c r="B141" s="144"/>
    </row>
    <row r="142" ht="12.75">
      <c r="B142" s="144"/>
    </row>
    <row r="143" ht="12.75">
      <c r="B143" s="144"/>
    </row>
    <row r="144" ht="12.75">
      <c r="B144" s="144"/>
    </row>
    <row r="145" ht="12.75">
      <c r="B145" s="144"/>
    </row>
    <row r="146" ht="12.75">
      <c r="B146" s="144"/>
    </row>
    <row r="147" ht="12.75">
      <c r="B147" s="144"/>
    </row>
    <row r="148" ht="12.75">
      <c r="B148" s="144"/>
    </row>
    <row r="149" ht="12.75">
      <c r="B149" s="144"/>
    </row>
    <row r="150" ht="12.75">
      <c r="B150" s="144"/>
    </row>
    <row r="151" ht="12.75">
      <c r="B151" s="144"/>
    </row>
    <row r="152" ht="12.75">
      <c r="B152" s="144"/>
    </row>
    <row r="153" ht="12.75">
      <c r="B153" s="144"/>
    </row>
    <row r="154" ht="12.75">
      <c r="B154" s="144"/>
    </row>
    <row r="155" ht="12.75">
      <c r="B155" s="144"/>
    </row>
    <row r="156" ht="12.75">
      <c r="B156" s="144"/>
    </row>
    <row r="157" ht="12.75">
      <c r="B157" s="144"/>
    </row>
    <row r="158" ht="12.75">
      <c r="B158" s="144"/>
    </row>
    <row r="159" ht="12.75">
      <c r="B159" s="144"/>
    </row>
    <row r="160" ht="12.75">
      <c r="B160" s="144"/>
    </row>
    <row r="161" ht="12.75">
      <c r="B161" s="144"/>
    </row>
    <row r="162" ht="12.75">
      <c r="B162" s="144"/>
    </row>
    <row r="163" ht="12.75">
      <c r="B163" s="144"/>
    </row>
    <row r="164" ht="12.75">
      <c r="B164" s="144"/>
    </row>
    <row r="165" ht="12.75">
      <c r="B165" s="144"/>
    </row>
    <row r="166" ht="12.75">
      <c r="B166" s="144"/>
    </row>
    <row r="167" ht="12.75">
      <c r="B167" s="144"/>
    </row>
    <row r="168" ht="12.75">
      <c r="B168" s="144"/>
    </row>
    <row r="169" ht="12.75">
      <c r="B169" s="144"/>
    </row>
    <row r="170" ht="12.75">
      <c r="B170" s="144"/>
    </row>
    <row r="171" ht="12.75">
      <c r="B171" s="144"/>
    </row>
    <row r="172" ht="12.75">
      <c r="B172" s="144"/>
    </row>
    <row r="173" ht="12.75">
      <c r="B173" s="144"/>
    </row>
    <row r="174" ht="12.75">
      <c r="B174" s="144"/>
    </row>
    <row r="175" ht="12.75">
      <c r="B175" s="144"/>
    </row>
    <row r="176" ht="12.75">
      <c r="B176" s="144"/>
    </row>
    <row r="177" ht="12.75">
      <c r="B177" s="144"/>
    </row>
    <row r="178" ht="12.75">
      <c r="B178" s="144"/>
    </row>
    <row r="179" ht="12.75">
      <c r="B179" s="144"/>
    </row>
    <row r="180" ht="12.75">
      <c r="B180" s="144"/>
    </row>
    <row r="181" ht="12.75">
      <c r="B181" s="144"/>
    </row>
    <row r="182" ht="12.75">
      <c r="B182" s="144"/>
    </row>
    <row r="183" ht="12.75">
      <c r="B183" s="144"/>
    </row>
    <row r="184" ht="12.75">
      <c r="B184" s="144"/>
    </row>
    <row r="185" ht="12.75">
      <c r="B185" s="144"/>
    </row>
    <row r="186" ht="12.75">
      <c r="B186" s="144"/>
    </row>
    <row r="187" ht="12.75">
      <c r="B187" s="144"/>
    </row>
    <row r="188" ht="12.75">
      <c r="B188" s="144"/>
    </row>
    <row r="189" ht="12.75">
      <c r="B189" s="144"/>
    </row>
    <row r="190" ht="12.75">
      <c r="B190" s="144"/>
    </row>
    <row r="191" ht="12.75">
      <c r="B191" s="144"/>
    </row>
    <row r="192" ht="12.75">
      <c r="B192" s="144"/>
    </row>
    <row r="193" ht="12.75">
      <c r="B193" s="144"/>
    </row>
    <row r="194" ht="12.75">
      <c r="B194" s="144"/>
    </row>
    <row r="195" ht="12.75">
      <c r="B195" s="144"/>
    </row>
    <row r="196" ht="12.75">
      <c r="B196" s="144"/>
    </row>
    <row r="197" ht="12.75">
      <c r="B197" s="144"/>
    </row>
    <row r="198" ht="12.75">
      <c r="B198" s="144"/>
    </row>
    <row r="199" ht="12.75">
      <c r="B199" s="144"/>
    </row>
    <row r="200" ht="12.75">
      <c r="B200" s="144"/>
    </row>
    <row r="201" ht="12.75">
      <c r="B201" s="144"/>
    </row>
    <row r="202" ht="12.75">
      <c r="B202" s="144"/>
    </row>
    <row r="203" ht="12.75">
      <c r="B203" s="144"/>
    </row>
    <row r="204" ht="12.75">
      <c r="B204" s="144"/>
    </row>
    <row r="205" ht="12.75">
      <c r="B205" s="144"/>
    </row>
    <row r="206" ht="12.75">
      <c r="B206" s="144"/>
    </row>
    <row r="207" ht="12.75">
      <c r="B207" s="144"/>
    </row>
    <row r="208" ht="12.75">
      <c r="B208" s="144"/>
    </row>
    <row r="209" ht="12.75">
      <c r="B209" s="144"/>
    </row>
    <row r="210" ht="12.75">
      <c r="B210" s="144"/>
    </row>
    <row r="211" ht="12.75">
      <c r="B211" s="144"/>
    </row>
    <row r="212" ht="12.75">
      <c r="B212" s="144"/>
    </row>
    <row r="213" ht="12.75">
      <c r="B213" s="144"/>
    </row>
    <row r="214" ht="12.75">
      <c r="B214" s="144"/>
    </row>
    <row r="215" ht="12.75">
      <c r="B215" s="144"/>
    </row>
    <row r="216" ht="12.75">
      <c r="B216" s="144"/>
    </row>
    <row r="217" ht="12.75">
      <c r="B217" s="144"/>
    </row>
    <row r="218" ht="12.75">
      <c r="B218" s="144"/>
    </row>
    <row r="219" ht="12.75">
      <c r="B219" s="144"/>
    </row>
    <row r="220" ht="12.75">
      <c r="B220" s="144"/>
    </row>
  </sheetData>
  <sheetProtection/>
  <protectedRanges>
    <protectedRange sqref="A1:IV4" name="Range1_1"/>
  </protectedRanges>
  <mergeCells count="9">
    <mergeCell ref="A26:K26"/>
    <mergeCell ref="A2:K2"/>
    <mergeCell ref="A3:K3"/>
    <mergeCell ref="A4:K4"/>
    <mergeCell ref="A6:A8"/>
    <mergeCell ref="B6:B8"/>
    <mergeCell ref="C6:E6"/>
    <mergeCell ref="F6:H6"/>
    <mergeCell ref="I6:K6"/>
  </mergeCells>
  <printOptions/>
  <pageMargins left="0.75" right="0.75" top="0.25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3"/>
  <sheetViews>
    <sheetView zoomScalePageLayoutView="0" workbookViewId="0" topLeftCell="A1">
      <selection activeCell="H74" sqref="H74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5.140625" style="0" customWidth="1"/>
    <col min="4" max="4" width="9.7109375" style="0" customWidth="1"/>
    <col min="5" max="5" width="8.57421875" style="0" customWidth="1"/>
    <col min="6" max="6" width="7.7109375" style="0" customWidth="1"/>
    <col min="7" max="7" width="9.00390625" style="0" customWidth="1"/>
    <col min="8" max="8" width="8.7109375" style="0" customWidth="1"/>
    <col min="9" max="10" width="9.28125" style="0" customWidth="1"/>
    <col min="11" max="11" width="8.7109375" style="0" customWidth="1"/>
    <col min="12" max="12" width="10.140625" style="0" customWidth="1"/>
    <col min="14" max="14" width="11.140625" style="0" bestFit="1" customWidth="1"/>
  </cols>
  <sheetData>
    <row r="1" spans="1:12" s="87" customFormat="1" ht="12.75" customHeight="1">
      <c r="A1" s="361" t="s">
        <v>12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102"/>
    </row>
    <row r="2" spans="2:12" s="87" customFormat="1" ht="28.5" customHeight="1">
      <c r="B2" s="361" t="s">
        <v>711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s="87" customFormat="1" ht="15">
      <c r="A3" s="361" t="s">
        <v>760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102"/>
    </row>
    <row r="4" spans="1:12" s="87" customFormat="1" ht="3.75" customHeight="1" thickBot="1">
      <c r="A4" s="119"/>
      <c r="B4" s="102"/>
      <c r="C4" s="102"/>
      <c r="D4" s="102"/>
      <c r="E4" s="102"/>
      <c r="F4" s="102"/>
      <c r="G4" s="102"/>
      <c r="H4" s="102"/>
      <c r="I4" s="102"/>
      <c r="J4" s="383"/>
      <c r="K4" s="383"/>
      <c r="L4" s="102"/>
    </row>
    <row r="5" spans="1:12" s="106" customFormat="1" ht="13.5" thickBot="1">
      <c r="A5" s="368" t="s">
        <v>340</v>
      </c>
      <c r="B5" s="370" t="s">
        <v>341</v>
      </c>
      <c r="C5" s="371"/>
      <c r="D5" s="338" t="s">
        <v>14</v>
      </c>
      <c r="E5" s="338"/>
      <c r="F5" s="339"/>
      <c r="G5" s="340" t="s">
        <v>15</v>
      </c>
      <c r="H5" s="338"/>
      <c r="I5" s="339"/>
      <c r="J5" s="340" t="s">
        <v>16</v>
      </c>
      <c r="K5" s="338"/>
      <c r="L5" s="339"/>
    </row>
    <row r="6" spans="1:12" s="106" customFormat="1" ht="30" customHeight="1" thickBot="1">
      <c r="A6" s="369"/>
      <c r="B6" s="372"/>
      <c r="C6" s="373"/>
      <c r="D6" s="330" t="s">
        <v>20</v>
      </c>
      <c r="E6" s="15" t="s">
        <v>21</v>
      </c>
      <c r="F6" s="15"/>
      <c r="G6" s="328" t="s">
        <v>22</v>
      </c>
      <c r="H6" s="16" t="s">
        <v>21</v>
      </c>
      <c r="I6" s="17"/>
      <c r="J6" s="384" t="s">
        <v>23</v>
      </c>
      <c r="K6" s="145" t="s">
        <v>21</v>
      </c>
      <c r="L6" s="146"/>
    </row>
    <row r="7" spans="1:12" s="106" customFormat="1" ht="26.25" thickBot="1">
      <c r="A7" s="375"/>
      <c r="B7" s="107" t="s">
        <v>342</v>
      </c>
      <c r="C7" s="147" t="s">
        <v>343</v>
      </c>
      <c r="D7" s="331"/>
      <c r="E7" s="21" t="s">
        <v>24</v>
      </c>
      <c r="F7" s="22" t="s">
        <v>25</v>
      </c>
      <c r="G7" s="329"/>
      <c r="H7" s="23" t="s">
        <v>24</v>
      </c>
      <c r="I7" s="24" t="s">
        <v>25</v>
      </c>
      <c r="J7" s="331"/>
      <c r="K7" s="20" t="s">
        <v>24</v>
      </c>
      <c r="L7" s="148" t="s">
        <v>25</v>
      </c>
    </row>
    <row r="8" spans="1:12" s="106" customFormat="1" ht="13.5" thickBot="1">
      <c r="A8" s="130">
        <v>1</v>
      </c>
      <c r="B8" s="130">
        <v>2</v>
      </c>
      <c r="C8" s="130" t="s">
        <v>143</v>
      </c>
      <c r="D8" s="274">
        <v>4</v>
      </c>
      <c r="E8" s="274">
        <v>5</v>
      </c>
      <c r="F8" s="27">
        <v>6</v>
      </c>
      <c r="G8" s="274">
        <v>7</v>
      </c>
      <c r="H8" s="274">
        <v>8</v>
      </c>
      <c r="I8" s="27">
        <v>9</v>
      </c>
      <c r="J8" s="274">
        <v>10</v>
      </c>
      <c r="K8" s="274">
        <v>11</v>
      </c>
      <c r="L8" s="275">
        <v>12</v>
      </c>
    </row>
    <row r="9" spans="1:12" s="152" customFormat="1" ht="24">
      <c r="A9" s="149">
        <v>8010</v>
      </c>
      <c r="B9" s="150" t="s">
        <v>712</v>
      </c>
      <c r="C9" s="151"/>
      <c r="D9" s="276">
        <f>SUM(D11,D66)</f>
        <v>0</v>
      </c>
      <c r="E9" s="277">
        <f aca="true" t="shared" si="0" ref="E9:L9">SUM(E11,E66)</f>
        <v>0</v>
      </c>
      <c r="F9" s="277">
        <f t="shared" si="0"/>
        <v>0</v>
      </c>
      <c r="G9" s="277">
        <f t="shared" si="0"/>
        <v>7437.585</v>
      </c>
      <c r="H9" s="277">
        <f t="shared" si="0"/>
        <v>0</v>
      </c>
      <c r="I9" s="277">
        <f t="shared" si="0"/>
        <v>7437.585</v>
      </c>
      <c r="J9" s="277">
        <f t="shared" si="0"/>
        <v>-79837.711</v>
      </c>
      <c r="K9" s="277">
        <f t="shared" si="0"/>
        <v>-44117.665</v>
      </c>
      <c r="L9" s="278">
        <f t="shared" si="0"/>
        <v>-35720.046</v>
      </c>
    </row>
    <row r="10" spans="1:12" s="152" customFormat="1" ht="12.75">
      <c r="A10" s="153"/>
      <c r="B10" s="154" t="s">
        <v>21</v>
      </c>
      <c r="C10" s="155"/>
      <c r="D10" s="279"/>
      <c r="E10" s="280"/>
      <c r="F10" s="280"/>
      <c r="G10" s="280"/>
      <c r="H10" s="280"/>
      <c r="I10" s="280"/>
      <c r="J10" s="280"/>
      <c r="K10" s="280"/>
      <c r="L10" s="281"/>
    </row>
    <row r="11" spans="1:12" s="11" customFormat="1" ht="24">
      <c r="A11" s="156">
        <v>8100</v>
      </c>
      <c r="B11" s="157" t="s">
        <v>576</v>
      </c>
      <c r="C11" s="158"/>
      <c r="D11" s="233">
        <f>SUM(D13,D41)</f>
        <v>0</v>
      </c>
      <c r="E11" s="234">
        <f aca="true" t="shared" si="1" ref="E11:L11">SUM(E13,E41)</f>
        <v>0</v>
      </c>
      <c r="F11" s="234">
        <f t="shared" si="1"/>
        <v>0</v>
      </c>
      <c r="G11" s="234">
        <f t="shared" si="1"/>
        <v>7437.585</v>
      </c>
      <c r="H11" s="234">
        <f t="shared" si="1"/>
        <v>0</v>
      </c>
      <c r="I11" s="234">
        <f t="shared" si="1"/>
        <v>7437.585</v>
      </c>
      <c r="J11" s="234">
        <f t="shared" si="1"/>
        <v>-79837.711</v>
      </c>
      <c r="K11" s="234">
        <f t="shared" si="1"/>
        <v>-44117.665</v>
      </c>
      <c r="L11" s="235">
        <f t="shared" si="1"/>
        <v>-35720.046</v>
      </c>
    </row>
    <row r="12" spans="1:12" s="11" customFormat="1" ht="12.75">
      <c r="A12" s="156"/>
      <c r="B12" s="159" t="s">
        <v>21</v>
      </c>
      <c r="C12" s="158"/>
      <c r="D12" s="233"/>
      <c r="E12" s="234"/>
      <c r="F12" s="234"/>
      <c r="G12" s="234"/>
      <c r="H12" s="234"/>
      <c r="I12" s="234"/>
      <c r="J12" s="234"/>
      <c r="K12" s="234"/>
      <c r="L12" s="235"/>
    </row>
    <row r="13" spans="1:12" s="11" customFormat="1" ht="24" customHeight="1">
      <c r="A13" s="160">
        <v>8110</v>
      </c>
      <c r="B13" s="161" t="s">
        <v>713</v>
      </c>
      <c r="C13" s="158"/>
      <c r="D13" s="233">
        <f>SUM(D15:D19)</f>
        <v>0</v>
      </c>
      <c r="E13" s="234">
        <f aca="true" t="shared" si="2" ref="E13:L13">SUM(E15:E19)</f>
        <v>0</v>
      </c>
      <c r="F13" s="234">
        <f t="shared" si="2"/>
        <v>0</v>
      </c>
      <c r="G13" s="234">
        <f t="shared" si="2"/>
        <v>0</v>
      </c>
      <c r="H13" s="234">
        <f t="shared" si="2"/>
        <v>0</v>
      </c>
      <c r="I13" s="234">
        <f t="shared" si="2"/>
        <v>0</v>
      </c>
      <c r="J13" s="234">
        <f t="shared" si="2"/>
        <v>0</v>
      </c>
      <c r="K13" s="234">
        <f t="shared" si="2"/>
        <v>0</v>
      </c>
      <c r="L13" s="235">
        <f t="shared" si="2"/>
        <v>0</v>
      </c>
    </row>
    <row r="14" spans="1:12" s="11" customFormat="1" ht="12.75">
      <c r="A14" s="160"/>
      <c r="B14" s="162" t="s">
        <v>21</v>
      </c>
      <c r="C14" s="158"/>
      <c r="D14" s="282"/>
      <c r="E14" s="234"/>
      <c r="F14" s="283"/>
      <c r="G14" s="283"/>
      <c r="H14" s="234"/>
      <c r="I14" s="283"/>
      <c r="J14" s="283"/>
      <c r="K14" s="234"/>
      <c r="L14" s="284"/>
    </row>
    <row r="15" spans="1:12" s="11" customFormat="1" ht="33" customHeight="1">
      <c r="A15" s="160">
        <v>8111</v>
      </c>
      <c r="B15" s="163" t="s">
        <v>577</v>
      </c>
      <c r="C15" s="158"/>
      <c r="D15" s="233">
        <f>SUM(D17:D18)</f>
        <v>0</v>
      </c>
      <c r="E15" s="283" t="s">
        <v>714</v>
      </c>
      <c r="F15" s="234">
        <f>SUM(F17:F18)</f>
        <v>0</v>
      </c>
      <c r="G15" s="234">
        <f>SUM(G17:G18)</f>
        <v>0</v>
      </c>
      <c r="H15" s="283" t="s">
        <v>714</v>
      </c>
      <c r="I15" s="234">
        <f>SUM(I17:I18)</f>
        <v>0</v>
      </c>
      <c r="J15" s="234">
        <f>SUM(J17:J18)</f>
        <v>0</v>
      </c>
      <c r="K15" s="283" t="s">
        <v>714</v>
      </c>
      <c r="L15" s="235">
        <f>SUM(L17:L18)</f>
        <v>0</v>
      </c>
    </row>
    <row r="16" spans="1:12" s="11" customFormat="1" ht="12.75">
      <c r="A16" s="160"/>
      <c r="B16" s="164" t="s">
        <v>530</v>
      </c>
      <c r="C16" s="158"/>
      <c r="D16" s="233"/>
      <c r="E16" s="283"/>
      <c r="F16" s="234"/>
      <c r="G16" s="234"/>
      <c r="H16" s="283"/>
      <c r="I16" s="234"/>
      <c r="J16" s="234"/>
      <c r="K16" s="283"/>
      <c r="L16" s="235"/>
    </row>
    <row r="17" spans="1:12" s="11" customFormat="1" ht="12.75">
      <c r="A17" s="160">
        <v>8112</v>
      </c>
      <c r="B17" s="165" t="s">
        <v>715</v>
      </c>
      <c r="C17" s="166" t="s">
        <v>716</v>
      </c>
      <c r="D17" s="233">
        <f>SUM(E17:F17)</f>
        <v>0</v>
      </c>
      <c r="E17" s="283" t="s">
        <v>714</v>
      </c>
      <c r="F17" s="234"/>
      <c r="G17" s="234">
        <f>SUM(H17:I17)</f>
        <v>0</v>
      </c>
      <c r="H17" s="283" t="s">
        <v>714</v>
      </c>
      <c r="I17" s="234"/>
      <c r="J17" s="234">
        <f>SUM(K17:L17)</f>
        <v>0</v>
      </c>
      <c r="K17" s="283" t="s">
        <v>714</v>
      </c>
      <c r="L17" s="235"/>
    </row>
    <row r="18" spans="1:12" s="11" customFormat="1" ht="12.75">
      <c r="A18" s="160">
        <v>8113</v>
      </c>
      <c r="B18" s="165" t="s">
        <v>717</v>
      </c>
      <c r="C18" s="166" t="s">
        <v>718</v>
      </c>
      <c r="D18" s="233">
        <f>SUM(E18:F18)</f>
        <v>0</v>
      </c>
      <c r="E18" s="283" t="s">
        <v>714</v>
      </c>
      <c r="F18" s="234"/>
      <c r="G18" s="234">
        <f>SUM(H18:I18)</f>
        <v>0</v>
      </c>
      <c r="H18" s="283" t="s">
        <v>714</v>
      </c>
      <c r="I18" s="234"/>
      <c r="J18" s="234">
        <f>SUM(K18:L18)</f>
        <v>0</v>
      </c>
      <c r="K18" s="283" t="s">
        <v>714</v>
      </c>
      <c r="L18" s="235"/>
    </row>
    <row r="19" spans="1:12" s="11" customFormat="1" ht="27" customHeight="1">
      <c r="A19" s="160">
        <v>8120</v>
      </c>
      <c r="B19" s="163" t="s">
        <v>591</v>
      </c>
      <c r="C19" s="166"/>
      <c r="D19" s="233">
        <f>SUM(D21,D31)</f>
        <v>0</v>
      </c>
      <c r="E19" s="234">
        <f aca="true" t="shared" si="3" ref="E19:L19">SUM(E21,E31)</f>
        <v>0</v>
      </c>
      <c r="F19" s="234">
        <f t="shared" si="3"/>
        <v>0</v>
      </c>
      <c r="G19" s="234">
        <f t="shared" si="3"/>
        <v>0</v>
      </c>
      <c r="H19" s="234">
        <f t="shared" si="3"/>
        <v>0</v>
      </c>
      <c r="I19" s="234">
        <f t="shared" si="3"/>
        <v>0</v>
      </c>
      <c r="J19" s="234">
        <f t="shared" si="3"/>
        <v>0</v>
      </c>
      <c r="K19" s="234">
        <f t="shared" si="3"/>
        <v>0</v>
      </c>
      <c r="L19" s="235">
        <f t="shared" si="3"/>
        <v>0</v>
      </c>
    </row>
    <row r="20" spans="1:12" s="11" customFormat="1" ht="12.75">
      <c r="A20" s="160"/>
      <c r="B20" s="164" t="s">
        <v>21</v>
      </c>
      <c r="C20" s="166"/>
      <c r="D20" s="233"/>
      <c r="E20" s="283"/>
      <c r="F20" s="234"/>
      <c r="G20" s="234"/>
      <c r="H20" s="283"/>
      <c r="I20" s="234"/>
      <c r="J20" s="234"/>
      <c r="K20" s="283"/>
      <c r="L20" s="235"/>
    </row>
    <row r="21" spans="1:12" s="11" customFormat="1" ht="12.75">
      <c r="A21" s="160">
        <v>8121</v>
      </c>
      <c r="B21" s="163" t="s">
        <v>578</v>
      </c>
      <c r="C21" s="166"/>
      <c r="D21" s="233">
        <f>SUM(D23,D27)</f>
        <v>0</v>
      </c>
      <c r="E21" s="283" t="s">
        <v>714</v>
      </c>
      <c r="F21" s="234">
        <f>SUM(F23,F27)</f>
        <v>0</v>
      </c>
      <c r="G21" s="234">
        <f>SUM(G23,G27)</f>
        <v>0</v>
      </c>
      <c r="H21" s="283" t="s">
        <v>714</v>
      </c>
      <c r="I21" s="234">
        <f>SUM(I23,I27)</f>
        <v>0</v>
      </c>
      <c r="J21" s="234">
        <f>SUM(J23,J27)</f>
        <v>0</v>
      </c>
      <c r="K21" s="283" t="s">
        <v>714</v>
      </c>
      <c r="L21" s="235">
        <f>SUM(L23,L27)</f>
        <v>0</v>
      </c>
    </row>
    <row r="22" spans="1:12" s="11" customFormat="1" ht="12.75">
      <c r="A22" s="160"/>
      <c r="B22" s="164" t="s">
        <v>530</v>
      </c>
      <c r="C22" s="166"/>
      <c r="D22" s="233"/>
      <c r="E22" s="283"/>
      <c r="F22" s="234"/>
      <c r="G22" s="234"/>
      <c r="H22" s="283"/>
      <c r="I22" s="234"/>
      <c r="J22" s="234"/>
      <c r="K22" s="283"/>
      <c r="L22" s="235"/>
    </row>
    <row r="23" spans="1:12" s="11" customFormat="1" ht="12.75">
      <c r="A23" s="156">
        <v>8122</v>
      </c>
      <c r="B23" s="161" t="s">
        <v>579</v>
      </c>
      <c r="C23" s="166" t="s">
        <v>720</v>
      </c>
      <c r="D23" s="233">
        <f>SUM(D25:D26)</f>
        <v>0</v>
      </c>
      <c r="E23" s="283" t="s">
        <v>714</v>
      </c>
      <c r="F23" s="234">
        <f>SUM(F25:F26)</f>
        <v>0</v>
      </c>
      <c r="G23" s="234">
        <f>SUM(G25:G26)</f>
        <v>0</v>
      </c>
      <c r="H23" s="283" t="s">
        <v>714</v>
      </c>
      <c r="I23" s="234">
        <f>SUM(I25:I26)</f>
        <v>0</v>
      </c>
      <c r="J23" s="234">
        <f>SUM(J25:J26)</f>
        <v>0</v>
      </c>
      <c r="K23" s="283" t="s">
        <v>714</v>
      </c>
      <c r="L23" s="235">
        <f>SUM(L25:L26)</f>
        <v>0</v>
      </c>
    </row>
    <row r="24" spans="1:12" s="11" customFormat="1" ht="12.75">
      <c r="A24" s="156"/>
      <c r="B24" s="167" t="s">
        <v>530</v>
      </c>
      <c r="C24" s="166"/>
      <c r="D24" s="233"/>
      <c r="E24" s="283"/>
      <c r="F24" s="234"/>
      <c r="G24" s="234"/>
      <c r="H24" s="283"/>
      <c r="I24" s="234"/>
      <c r="J24" s="234"/>
      <c r="K24" s="283"/>
      <c r="L24" s="235"/>
    </row>
    <row r="25" spans="1:12" s="11" customFormat="1" ht="12.75">
      <c r="A25" s="156">
        <v>8123</v>
      </c>
      <c r="B25" s="167" t="s">
        <v>721</v>
      </c>
      <c r="C25" s="166"/>
      <c r="D25" s="233">
        <f>SUM(E25:F25)</f>
        <v>0</v>
      </c>
      <c r="E25" s="283" t="s">
        <v>714</v>
      </c>
      <c r="F25" s="234"/>
      <c r="G25" s="234">
        <f>SUM(H25:I25)</f>
        <v>0</v>
      </c>
      <c r="H25" s="283" t="s">
        <v>714</v>
      </c>
      <c r="I25" s="234"/>
      <c r="J25" s="234">
        <f>SUM(K25:L25)</f>
        <v>0</v>
      </c>
      <c r="K25" s="283" t="s">
        <v>714</v>
      </c>
      <c r="L25" s="235"/>
    </row>
    <row r="26" spans="1:12" s="11" customFormat="1" ht="12.75">
      <c r="A26" s="156">
        <v>8124</v>
      </c>
      <c r="B26" s="167" t="s">
        <v>722</v>
      </c>
      <c r="C26" s="166"/>
      <c r="D26" s="233">
        <f>SUM(E26:F26)</f>
        <v>0</v>
      </c>
      <c r="E26" s="283" t="s">
        <v>714</v>
      </c>
      <c r="F26" s="234"/>
      <c r="G26" s="234">
        <f>SUM(H26:I26)</f>
        <v>0</v>
      </c>
      <c r="H26" s="283" t="s">
        <v>714</v>
      </c>
      <c r="I26" s="234"/>
      <c r="J26" s="234">
        <f>SUM(K26:L26)</f>
        <v>0</v>
      </c>
      <c r="K26" s="283" t="s">
        <v>714</v>
      </c>
      <c r="L26" s="235"/>
    </row>
    <row r="27" spans="1:12" s="11" customFormat="1" ht="24">
      <c r="A27" s="156">
        <v>8130</v>
      </c>
      <c r="B27" s="161" t="s">
        <v>580</v>
      </c>
      <c r="C27" s="166" t="s">
        <v>724</v>
      </c>
      <c r="D27" s="233">
        <f>SUM(D29:D30)</f>
        <v>0</v>
      </c>
      <c r="E27" s="283" t="s">
        <v>714</v>
      </c>
      <c r="F27" s="234">
        <f>SUM(F29:F30)</f>
        <v>0</v>
      </c>
      <c r="G27" s="234">
        <f>SUM(G29:G30)</f>
        <v>0</v>
      </c>
      <c r="H27" s="283" t="s">
        <v>714</v>
      </c>
      <c r="I27" s="234">
        <f>SUM(I29:I30)</f>
        <v>0</v>
      </c>
      <c r="J27" s="234">
        <f>SUM(J29:J30)</f>
        <v>0</v>
      </c>
      <c r="K27" s="283" t="s">
        <v>714</v>
      </c>
      <c r="L27" s="235">
        <f>SUM(L29:L30)</f>
        <v>0</v>
      </c>
    </row>
    <row r="28" spans="1:12" s="11" customFormat="1" ht="12.75">
      <c r="A28" s="156"/>
      <c r="B28" s="167" t="s">
        <v>530</v>
      </c>
      <c r="C28" s="166"/>
      <c r="D28" s="233"/>
      <c r="E28" s="283"/>
      <c r="F28" s="234"/>
      <c r="G28" s="234"/>
      <c r="H28" s="283"/>
      <c r="I28" s="234"/>
      <c r="J28" s="234"/>
      <c r="K28" s="283"/>
      <c r="L28" s="235"/>
    </row>
    <row r="29" spans="1:12" s="11" customFormat="1" ht="12.75">
      <c r="A29" s="156">
        <v>8131</v>
      </c>
      <c r="B29" s="167" t="s">
        <v>725</v>
      </c>
      <c r="C29" s="166"/>
      <c r="D29" s="233">
        <f>SUM(E29:F29)</f>
        <v>0</v>
      </c>
      <c r="E29" s="283" t="s">
        <v>714</v>
      </c>
      <c r="F29" s="234"/>
      <c r="G29" s="234">
        <f>SUM(H29:I29)</f>
        <v>0</v>
      </c>
      <c r="H29" s="283" t="s">
        <v>714</v>
      </c>
      <c r="I29" s="234"/>
      <c r="J29" s="234">
        <f>SUM(K29:L29)</f>
        <v>0</v>
      </c>
      <c r="K29" s="283" t="s">
        <v>714</v>
      </c>
      <c r="L29" s="235"/>
    </row>
    <row r="30" spans="1:12" s="11" customFormat="1" ht="12.75">
      <c r="A30" s="156">
        <v>8132</v>
      </c>
      <c r="B30" s="167" t="s">
        <v>726</v>
      </c>
      <c r="C30" s="166"/>
      <c r="D30" s="233">
        <f>SUM(E30:F30)</f>
        <v>0</v>
      </c>
      <c r="E30" s="283" t="s">
        <v>714</v>
      </c>
      <c r="F30" s="234"/>
      <c r="G30" s="234">
        <f>SUM(H30:I30)</f>
        <v>0</v>
      </c>
      <c r="H30" s="283" t="s">
        <v>714</v>
      </c>
      <c r="I30" s="234"/>
      <c r="J30" s="234">
        <f>SUM(K30:L30)</f>
        <v>0</v>
      </c>
      <c r="K30" s="283" t="s">
        <v>714</v>
      </c>
      <c r="L30" s="235"/>
    </row>
    <row r="31" spans="1:12" s="168" customFormat="1" ht="12.75">
      <c r="A31" s="156">
        <v>8140</v>
      </c>
      <c r="B31" s="161" t="s">
        <v>581</v>
      </c>
      <c r="C31" s="166"/>
      <c r="D31" s="233">
        <f>SUM(D33,D37)</f>
        <v>0</v>
      </c>
      <c r="E31" s="234">
        <f aca="true" t="shared" si="4" ref="E31:L31">SUM(E33,E37)</f>
        <v>0</v>
      </c>
      <c r="F31" s="234">
        <f t="shared" si="4"/>
        <v>0</v>
      </c>
      <c r="G31" s="234">
        <f t="shared" si="4"/>
        <v>0</v>
      </c>
      <c r="H31" s="234">
        <f t="shared" si="4"/>
        <v>0</v>
      </c>
      <c r="I31" s="234">
        <f t="shared" si="4"/>
        <v>0</v>
      </c>
      <c r="J31" s="234">
        <f t="shared" si="4"/>
        <v>0</v>
      </c>
      <c r="K31" s="234">
        <f t="shared" si="4"/>
        <v>0</v>
      </c>
      <c r="L31" s="235">
        <f t="shared" si="4"/>
        <v>0</v>
      </c>
    </row>
    <row r="32" spans="1:12" s="168" customFormat="1" ht="12.75">
      <c r="A32" s="160"/>
      <c r="B32" s="164" t="s">
        <v>530</v>
      </c>
      <c r="C32" s="166"/>
      <c r="D32" s="233"/>
      <c r="E32" s="283"/>
      <c r="F32" s="234"/>
      <c r="G32" s="234"/>
      <c r="H32" s="283"/>
      <c r="I32" s="234"/>
      <c r="J32" s="234"/>
      <c r="K32" s="283"/>
      <c r="L32" s="235"/>
    </row>
    <row r="33" spans="1:12" s="168" customFormat="1" ht="24">
      <c r="A33" s="156">
        <v>8141</v>
      </c>
      <c r="B33" s="161" t="s">
        <v>582</v>
      </c>
      <c r="C33" s="166" t="s">
        <v>720</v>
      </c>
      <c r="D33" s="233">
        <f>SUM(D35:D36)</f>
        <v>0</v>
      </c>
      <c r="E33" s="234">
        <f aca="true" t="shared" si="5" ref="E33:L33">SUM(E35:E36)</f>
        <v>0</v>
      </c>
      <c r="F33" s="234">
        <f t="shared" si="5"/>
        <v>0</v>
      </c>
      <c r="G33" s="234">
        <f t="shared" si="5"/>
        <v>0</v>
      </c>
      <c r="H33" s="234">
        <f t="shared" si="5"/>
        <v>0</v>
      </c>
      <c r="I33" s="234">
        <f t="shared" si="5"/>
        <v>0</v>
      </c>
      <c r="J33" s="234">
        <f t="shared" si="5"/>
        <v>0</v>
      </c>
      <c r="K33" s="234">
        <f t="shared" si="5"/>
        <v>0</v>
      </c>
      <c r="L33" s="235">
        <f t="shared" si="5"/>
        <v>0</v>
      </c>
    </row>
    <row r="34" spans="1:12" s="168" customFormat="1" ht="13.5" thickBot="1">
      <c r="A34" s="156"/>
      <c r="B34" s="167" t="s">
        <v>530</v>
      </c>
      <c r="C34" s="169"/>
      <c r="D34" s="233"/>
      <c r="E34" s="283"/>
      <c r="F34" s="234"/>
      <c r="G34" s="234"/>
      <c r="H34" s="283"/>
      <c r="I34" s="234"/>
      <c r="J34" s="234"/>
      <c r="K34" s="283"/>
      <c r="L34" s="235"/>
    </row>
    <row r="35" spans="1:12" s="168" customFormat="1" ht="12.75">
      <c r="A35" s="149">
        <v>8142</v>
      </c>
      <c r="B35" s="170" t="s">
        <v>727</v>
      </c>
      <c r="C35" s="171"/>
      <c r="D35" s="233">
        <f>SUM(E35:F35)</f>
        <v>0</v>
      </c>
      <c r="E35" s="283"/>
      <c r="F35" s="234" t="s">
        <v>29</v>
      </c>
      <c r="G35" s="234">
        <f>SUM(H35:I35)</f>
        <v>0</v>
      </c>
      <c r="H35" s="283"/>
      <c r="I35" s="234" t="s">
        <v>29</v>
      </c>
      <c r="J35" s="234">
        <f>SUM(K35:L35)</f>
        <v>0</v>
      </c>
      <c r="K35" s="283"/>
      <c r="L35" s="235" t="s">
        <v>29</v>
      </c>
    </row>
    <row r="36" spans="1:12" s="168" customFormat="1" ht="13.5" thickBot="1">
      <c r="A36" s="172">
        <v>8143</v>
      </c>
      <c r="B36" s="173" t="s">
        <v>728</v>
      </c>
      <c r="C36" s="174"/>
      <c r="D36" s="233">
        <f>SUM(E36:F36)</f>
        <v>0</v>
      </c>
      <c r="E36" s="283"/>
      <c r="F36" s="234" t="s">
        <v>29</v>
      </c>
      <c r="G36" s="234">
        <f>SUM(H36:I36)</f>
        <v>0</v>
      </c>
      <c r="H36" s="283"/>
      <c r="I36" s="234" t="s">
        <v>29</v>
      </c>
      <c r="J36" s="234">
        <f>SUM(K36:L36)</f>
        <v>0</v>
      </c>
      <c r="K36" s="283"/>
      <c r="L36" s="235" t="s">
        <v>29</v>
      </c>
    </row>
    <row r="37" spans="1:12" s="168" customFormat="1" ht="13.5" customHeight="1">
      <c r="A37" s="149">
        <v>8150</v>
      </c>
      <c r="B37" s="175" t="s">
        <v>584</v>
      </c>
      <c r="C37" s="176" t="s">
        <v>724</v>
      </c>
      <c r="D37" s="233">
        <f>SUM(D39:D40)</f>
        <v>0</v>
      </c>
      <c r="E37" s="234">
        <f aca="true" t="shared" si="6" ref="E37:L37">SUM(E39:E40)</f>
        <v>0</v>
      </c>
      <c r="F37" s="234">
        <f t="shared" si="6"/>
        <v>0</v>
      </c>
      <c r="G37" s="234">
        <f t="shared" si="6"/>
        <v>0</v>
      </c>
      <c r="H37" s="234">
        <f t="shared" si="6"/>
        <v>0</v>
      </c>
      <c r="I37" s="234">
        <f t="shared" si="6"/>
        <v>0</v>
      </c>
      <c r="J37" s="234">
        <f t="shared" si="6"/>
        <v>0</v>
      </c>
      <c r="K37" s="234">
        <f t="shared" si="6"/>
        <v>0</v>
      </c>
      <c r="L37" s="235">
        <f t="shared" si="6"/>
        <v>0</v>
      </c>
    </row>
    <row r="38" spans="1:12" s="168" customFormat="1" ht="12.75">
      <c r="A38" s="156"/>
      <c r="B38" s="167" t="s">
        <v>530</v>
      </c>
      <c r="C38" s="177"/>
      <c r="D38" s="233"/>
      <c r="E38" s="283"/>
      <c r="F38" s="234"/>
      <c r="G38" s="234"/>
      <c r="H38" s="283"/>
      <c r="I38" s="234"/>
      <c r="J38" s="234"/>
      <c r="K38" s="283"/>
      <c r="L38" s="235"/>
    </row>
    <row r="39" spans="1:12" s="168" customFormat="1" ht="12.75">
      <c r="A39" s="156">
        <v>8151</v>
      </c>
      <c r="B39" s="167" t="s">
        <v>725</v>
      </c>
      <c r="C39" s="177"/>
      <c r="D39" s="233">
        <f>SUM(E39:F39)</f>
        <v>0</v>
      </c>
      <c r="E39" s="283"/>
      <c r="F39" s="234" t="s">
        <v>29</v>
      </c>
      <c r="G39" s="234">
        <f>SUM(H39:I39)</f>
        <v>0</v>
      </c>
      <c r="H39" s="283"/>
      <c r="I39" s="234" t="s">
        <v>29</v>
      </c>
      <c r="J39" s="234">
        <f>SUM(K39:L39)</f>
        <v>0</v>
      </c>
      <c r="K39" s="283"/>
      <c r="L39" s="235" t="s">
        <v>29</v>
      </c>
    </row>
    <row r="40" spans="1:12" s="168" customFormat="1" ht="13.5" thickBot="1">
      <c r="A40" s="178">
        <v>8152</v>
      </c>
      <c r="B40" s="179" t="s">
        <v>730</v>
      </c>
      <c r="C40" s="180"/>
      <c r="D40" s="233">
        <f>SUM(E40:F40)</f>
        <v>0</v>
      </c>
      <c r="E40" s="283"/>
      <c r="F40" s="234" t="s">
        <v>29</v>
      </c>
      <c r="G40" s="234">
        <f>SUM(H40:I40)</f>
        <v>0</v>
      </c>
      <c r="H40" s="283"/>
      <c r="I40" s="234" t="s">
        <v>29</v>
      </c>
      <c r="J40" s="234">
        <f>SUM(K40:L40)</f>
        <v>0</v>
      </c>
      <c r="K40" s="283"/>
      <c r="L40" s="235" t="s">
        <v>29</v>
      </c>
    </row>
    <row r="41" spans="1:12" s="168" customFormat="1" ht="37.5" customHeight="1" thickBot="1">
      <c r="A41" s="181">
        <v>8160</v>
      </c>
      <c r="B41" s="182" t="s">
        <v>731</v>
      </c>
      <c r="C41" s="183"/>
      <c r="D41" s="233">
        <f>SUM(D43,D48,D52,D64)</f>
        <v>0</v>
      </c>
      <c r="E41" s="234">
        <f aca="true" t="shared" si="7" ref="E41:J41">SUM(E43,E48,E52,E64)</f>
        <v>0</v>
      </c>
      <c r="F41" s="234">
        <f t="shared" si="7"/>
        <v>0</v>
      </c>
      <c r="G41" s="234">
        <f t="shared" si="7"/>
        <v>7437.585</v>
      </c>
      <c r="H41" s="234">
        <f t="shared" si="7"/>
        <v>0</v>
      </c>
      <c r="I41" s="234">
        <f t="shared" si="7"/>
        <v>7437.585</v>
      </c>
      <c r="J41" s="234">
        <f t="shared" si="7"/>
        <v>-79837.711</v>
      </c>
      <c r="K41" s="234">
        <f>SUM(K43,K48,K52,K64)</f>
        <v>-44117.665</v>
      </c>
      <c r="L41" s="235">
        <f>SUM(L43,L48,L52,L64)</f>
        <v>-35720.046</v>
      </c>
    </row>
    <row r="42" spans="1:12" s="168" customFormat="1" ht="13.5" thickBot="1">
      <c r="A42" s="184"/>
      <c r="B42" s="185" t="s">
        <v>21</v>
      </c>
      <c r="C42" s="186"/>
      <c r="D42" s="233"/>
      <c r="E42" s="283"/>
      <c r="F42" s="234"/>
      <c r="G42" s="234"/>
      <c r="H42" s="283"/>
      <c r="I42" s="234"/>
      <c r="J42" s="234"/>
      <c r="K42" s="283"/>
      <c r="L42" s="235"/>
    </row>
    <row r="43" spans="1:12" s="152" customFormat="1" ht="14.25" customHeight="1" thickBot="1">
      <c r="A43" s="181">
        <v>8161</v>
      </c>
      <c r="B43" s="187" t="s">
        <v>585</v>
      </c>
      <c r="C43" s="183"/>
      <c r="D43" s="279">
        <f>SUM(D45:D47)</f>
        <v>0</v>
      </c>
      <c r="E43" s="285" t="s">
        <v>714</v>
      </c>
      <c r="F43" s="280">
        <f>SUM(F45:F47)</f>
        <v>0</v>
      </c>
      <c r="G43" s="280">
        <f>SUM(G45:G47)</f>
        <v>0</v>
      </c>
      <c r="H43" s="285" t="s">
        <v>714</v>
      </c>
      <c r="I43" s="280">
        <f>SUM(I45:I47)</f>
        <v>0</v>
      </c>
      <c r="J43" s="280">
        <f>SUM(J45:J47)</f>
        <v>0</v>
      </c>
      <c r="K43" s="285" t="s">
        <v>714</v>
      </c>
      <c r="L43" s="281">
        <f>SUM(L45:L47)</f>
        <v>0</v>
      </c>
    </row>
    <row r="44" spans="1:12" s="152" customFormat="1" ht="12.75">
      <c r="A44" s="153"/>
      <c r="B44" s="188" t="s">
        <v>530</v>
      </c>
      <c r="C44" s="189"/>
      <c r="D44" s="279"/>
      <c r="E44" s="285"/>
      <c r="F44" s="280"/>
      <c r="G44" s="280"/>
      <c r="H44" s="285"/>
      <c r="I44" s="280"/>
      <c r="J44" s="280"/>
      <c r="K44" s="285"/>
      <c r="L44" s="281"/>
    </row>
    <row r="45" spans="1:12" s="11" customFormat="1" ht="27" customHeight="1" thickBot="1">
      <c r="A45" s="156">
        <v>8162</v>
      </c>
      <c r="B45" s="167" t="s">
        <v>732</v>
      </c>
      <c r="C45" s="177" t="s">
        <v>733</v>
      </c>
      <c r="D45" s="233"/>
      <c r="E45" s="283" t="s">
        <v>714</v>
      </c>
      <c r="F45" s="234"/>
      <c r="G45" s="234">
        <f>SUM(H45:I45)</f>
        <v>0</v>
      </c>
      <c r="H45" s="283" t="s">
        <v>714</v>
      </c>
      <c r="I45" s="234"/>
      <c r="J45" s="234">
        <f>SUM(K45:L45)</f>
        <v>0</v>
      </c>
      <c r="K45" s="283" t="s">
        <v>714</v>
      </c>
      <c r="L45" s="235"/>
    </row>
    <row r="46" spans="1:12" s="152" customFormat="1" ht="51.75" customHeight="1" thickBot="1">
      <c r="A46" s="190">
        <v>8163</v>
      </c>
      <c r="B46" s="167" t="s">
        <v>734</v>
      </c>
      <c r="C46" s="177" t="s">
        <v>733</v>
      </c>
      <c r="D46" s="233">
        <f>SUM(E46:F46)</f>
        <v>0</v>
      </c>
      <c r="E46" s="285" t="s">
        <v>714</v>
      </c>
      <c r="F46" s="280"/>
      <c r="G46" s="234">
        <f>SUM(H46:I46)</f>
        <v>0</v>
      </c>
      <c r="H46" s="285" t="s">
        <v>714</v>
      </c>
      <c r="I46" s="280"/>
      <c r="J46" s="234">
        <f>SUM(K46:L46)</f>
        <v>0</v>
      </c>
      <c r="K46" s="285" t="s">
        <v>714</v>
      </c>
      <c r="L46" s="281"/>
    </row>
    <row r="47" spans="1:12" s="11" customFormat="1" ht="14.25" customHeight="1" thickBot="1">
      <c r="A47" s="178">
        <v>8164</v>
      </c>
      <c r="B47" s="179" t="s">
        <v>735</v>
      </c>
      <c r="C47" s="180" t="s">
        <v>736</v>
      </c>
      <c r="D47" s="233">
        <f>SUM(E47:F47)</f>
        <v>0</v>
      </c>
      <c r="E47" s="283" t="s">
        <v>714</v>
      </c>
      <c r="F47" s="234"/>
      <c r="G47" s="234">
        <f>SUM(H47:I47)</f>
        <v>0</v>
      </c>
      <c r="H47" s="283" t="s">
        <v>714</v>
      </c>
      <c r="I47" s="234"/>
      <c r="J47" s="234">
        <f>SUM(K47:L47)</f>
        <v>0</v>
      </c>
      <c r="K47" s="283" t="s">
        <v>714</v>
      </c>
      <c r="L47" s="235"/>
    </row>
    <row r="48" spans="1:12" s="152" customFormat="1" ht="13.5" thickBot="1">
      <c r="A48" s="181">
        <v>8170</v>
      </c>
      <c r="B48" s="187" t="s">
        <v>586</v>
      </c>
      <c r="C48" s="183"/>
      <c r="D48" s="286">
        <f>SUM(D50:D51)</f>
        <v>0</v>
      </c>
      <c r="E48" s="285">
        <f aca="true" t="shared" si="8" ref="E48:L48">SUM(E50:E51)</f>
        <v>0</v>
      </c>
      <c r="F48" s="285">
        <f t="shared" si="8"/>
        <v>0</v>
      </c>
      <c r="G48" s="285">
        <f t="shared" si="8"/>
        <v>0</v>
      </c>
      <c r="H48" s="285">
        <f t="shared" si="8"/>
        <v>0</v>
      </c>
      <c r="I48" s="285">
        <f t="shared" si="8"/>
        <v>0</v>
      </c>
      <c r="J48" s="285">
        <f t="shared" si="8"/>
        <v>0</v>
      </c>
      <c r="K48" s="285">
        <f t="shared" si="8"/>
        <v>0</v>
      </c>
      <c r="L48" s="287">
        <f t="shared" si="8"/>
        <v>0</v>
      </c>
    </row>
    <row r="49" spans="1:12" s="152" customFormat="1" ht="12.75">
      <c r="A49" s="153"/>
      <c r="B49" s="188" t="s">
        <v>530</v>
      </c>
      <c r="C49" s="189"/>
      <c r="D49" s="286"/>
      <c r="E49" s="285"/>
      <c r="F49" s="285"/>
      <c r="G49" s="285"/>
      <c r="H49" s="285"/>
      <c r="I49" s="285"/>
      <c r="J49" s="285"/>
      <c r="K49" s="285"/>
      <c r="L49" s="287"/>
    </row>
    <row r="50" spans="1:12" s="11" customFormat="1" ht="24">
      <c r="A50" s="156">
        <v>8171</v>
      </c>
      <c r="B50" s="167" t="s">
        <v>737</v>
      </c>
      <c r="C50" s="177" t="s">
        <v>738</v>
      </c>
      <c r="D50" s="233">
        <f>SUM(E50:F50)</f>
        <v>0</v>
      </c>
      <c r="E50" s="247"/>
      <c r="F50" s="247"/>
      <c r="G50" s="234">
        <f>SUM(H50:I50)</f>
        <v>0</v>
      </c>
      <c r="H50" s="247"/>
      <c r="I50" s="247"/>
      <c r="J50" s="234">
        <f>SUM(K50:L50)</f>
        <v>0</v>
      </c>
      <c r="K50" s="247"/>
      <c r="L50" s="288"/>
    </row>
    <row r="51" spans="1:12" s="11" customFormat="1" ht="13.5" thickBot="1">
      <c r="A51" s="156">
        <v>8172</v>
      </c>
      <c r="B51" s="165" t="s">
        <v>739</v>
      </c>
      <c r="C51" s="177" t="s">
        <v>740</v>
      </c>
      <c r="D51" s="233">
        <f>SUM(E51:F51)</f>
        <v>0</v>
      </c>
      <c r="E51" s="283"/>
      <c r="F51" s="234"/>
      <c r="G51" s="234">
        <f>SUM(H51:I51)</f>
        <v>0</v>
      </c>
      <c r="H51" s="283"/>
      <c r="I51" s="234"/>
      <c r="J51" s="234">
        <f>SUM(K51:L51)</f>
        <v>0</v>
      </c>
      <c r="K51" s="283"/>
      <c r="L51" s="235"/>
    </row>
    <row r="52" spans="1:12" s="152" customFormat="1" ht="24.75" thickBot="1">
      <c r="A52" s="191">
        <v>8190</v>
      </c>
      <c r="B52" s="192" t="s">
        <v>587</v>
      </c>
      <c r="C52" s="193"/>
      <c r="D52" s="279">
        <f aca="true" t="shared" si="9" ref="D52:L52">SUM(D56,D58)</f>
        <v>0</v>
      </c>
      <c r="E52" s="280">
        <f t="shared" si="9"/>
        <v>0</v>
      </c>
      <c r="F52" s="280">
        <f t="shared" si="9"/>
        <v>0</v>
      </c>
      <c r="G52" s="280">
        <f>H52+I52</f>
        <v>7437.585</v>
      </c>
      <c r="H52" s="280">
        <f>SUM(H56,H58)</f>
        <v>0</v>
      </c>
      <c r="I52" s="280">
        <f t="shared" si="9"/>
        <v>7437.585</v>
      </c>
      <c r="J52" s="280">
        <f t="shared" si="9"/>
        <v>7437.585</v>
      </c>
      <c r="K52" s="280">
        <f t="shared" si="9"/>
        <v>0</v>
      </c>
      <c r="L52" s="281">
        <f t="shared" si="9"/>
        <v>7437.585</v>
      </c>
    </row>
    <row r="53" spans="1:12" s="152" customFormat="1" ht="12.75">
      <c r="A53" s="194"/>
      <c r="B53" s="164" t="s">
        <v>344</v>
      </c>
      <c r="C53" s="62"/>
      <c r="D53" s="279"/>
      <c r="E53" s="280"/>
      <c r="F53" s="280"/>
      <c r="G53" s="280"/>
      <c r="H53" s="280"/>
      <c r="I53" s="280"/>
      <c r="J53" s="280"/>
      <c r="K53" s="280"/>
      <c r="L53" s="281"/>
    </row>
    <row r="54" spans="1:12" s="11" customFormat="1" ht="24">
      <c r="A54" s="195">
        <v>8191</v>
      </c>
      <c r="B54" s="188" t="s">
        <v>741</v>
      </c>
      <c r="C54" s="196">
        <v>9320</v>
      </c>
      <c r="D54" s="233">
        <f>SUM(E54:F54)</f>
        <v>0</v>
      </c>
      <c r="E54" s="302">
        <v>0</v>
      </c>
      <c r="F54" s="234" t="s">
        <v>29</v>
      </c>
      <c r="G54" s="234">
        <f>SUM(H54:I54)</f>
        <v>258.819</v>
      </c>
      <c r="H54" s="302">
        <v>258.819</v>
      </c>
      <c r="I54" s="234" t="s">
        <v>29</v>
      </c>
      <c r="J54" s="234">
        <f>SUM(K54:L54)</f>
        <v>0</v>
      </c>
      <c r="K54" s="302"/>
      <c r="L54" s="235" t="s">
        <v>29</v>
      </c>
    </row>
    <row r="55" spans="1:12" s="11" customFormat="1" ht="12.75">
      <c r="A55" s="197"/>
      <c r="B55" s="164" t="s">
        <v>139</v>
      </c>
      <c r="C55" s="198"/>
      <c r="D55" s="233"/>
      <c r="E55" s="234"/>
      <c r="F55" s="234"/>
      <c r="G55" s="234"/>
      <c r="H55" s="234"/>
      <c r="I55" s="234"/>
      <c r="J55" s="234"/>
      <c r="K55" s="234"/>
      <c r="L55" s="235"/>
    </row>
    <row r="56" spans="1:12" s="11" customFormat="1" ht="35.25" customHeight="1">
      <c r="A56" s="197">
        <v>8192</v>
      </c>
      <c r="B56" s="167" t="s">
        <v>742</v>
      </c>
      <c r="C56" s="198"/>
      <c r="D56" s="233">
        <f>SUM(E56:F56)</f>
        <v>0</v>
      </c>
      <c r="E56" s="234"/>
      <c r="F56" s="283" t="s">
        <v>714</v>
      </c>
      <c r="G56" s="234">
        <f>SUM(H56:I56)</f>
        <v>0</v>
      </c>
      <c r="H56" s="234"/>
      <c r="I56" s="283" t="s">
        <v>714</v>
      </c>
      <c r="J56" s="234">
        <f>SUM(K56:L56)</f>
        <v>0</v>
      </c>
      <c r="K56" s="234"/>
      <c r="L56" s="284" t="s">
        <v>714</v>
      </c>
    </row>
    <row r="57" spans="1:12" s="11" customFormat="1" ht="24">
      <c r="A57" s="197">
        <v>8193</v>
      </c>
      <c r="B57" s="167" t="s">
        <v>743</v>
      </c>
      <c r="C57" s="198"/>
      <c r="D57" s="233">
        <f>D54-D56</f>
        <v>0</v>
      </c>
      <c r="E57" s="234">
        <f>E54-E56</f>
        <v>0</v>
      </c>
      <c r="F57" s="283" t="s">
        <v>29</v>
      </c>
      <c r="G57" s="234">
        <f>G54-G56</f>
        <v>258.819</v>
      </c>
      <c r="H57" s="234">
        <f>H54-H56</f>
        <v>258.819</v>
      </c>
      <c r="I57" s="283" t="s">
        <v>29</v>
      </c>
      <c r="J57" s="234">
        <f>J54-J56</f>
        <v>0</v>
      </c>
      <c r="K57" s="234">
        <f>K54-K56</f>
        <v>0</v>
      </c>
      <c r="L57" s="284" t="s">
        <v>29</v>
      </c>
    </row>
    <row r="58" spans="1:12" s="11" customFormat="1" ht="24">
      <c r="A58" s="197">
        <v>8194</v>
      </c>
      <c r="B58" s="199" t="s">
        <v>744</v>
      </c>
      <c r="C58" s="200">
        <v>9330</v>
      </c>
      <c r="D58" s="279">
        <f aca="true" t="shared" si="10" ref="D58:L58">SUM(D60,D61)</f>
        <v>0</v>
      </c>
      <c r="E58" s="280">
        <f t="shared" si="10"/>
        <v>0</v>
      </c>
      <c r="F58" s="280">
        <f t="shared" si="10"/>
        <v>0</v>
      </c>
      <c r="G58" s="280">
        <f>H58+I58</f>
        <v>7437.585</v>
      </c>
      <c r="H58" s="280">
        <f t="shared" si="10"/>
        <v>0</v>
      </c>
      <c r="I58" s="280">
        <f t="shared" si="10"/>
        <v>7437.585</v>
      </c>
      <c r="J58" s="280">
        <f>SUM(J60,J61)</f>
        <v>7437.585</v>
      </c>
      <c r="K58" s="280">
        <f t="shared" si="10"/>
        <v>0</v>
      </c>
      <c r="L58" s="281">
        <f t="shared" si="10"/>
        <v>7437.585</v>
      </c>
    </row>
    <row r="59" spans="1:12" s="11" customFormat="1" ht="12.75">
      <c r="A59" s="197"/>
      <c r="B59" s="164" t="s">
        <v>139</v>
      </c>
      <c r="C59" s="200"/>
      <c r="D59" s="289"/>
      <c r="E59" s="283"/>
      <c r="F59" s="234"/>
      <c r="G59" s="247"/>
      <c r="H59" s="283"/>
      <c r="I59" s="234"/>
      <c r="J59" s="247"/>
      <c r="K59" s="283"/>
      <c r="L59" s="235"/>
    </row>
    <row r="60" spans="1:14" s="11" customFormat="1" ht="24">
      <c r="A60" s="197">
        <v>8195</v>
      </c>
      <c r="B60" s="167" t="s">
        <v>745</v>
      </c>
      <c r="C60" s="200"/>
      <c r="D60" s="233">
        <f>SUM(E60:F60)</f>
        <v>0</v>
      </c>
      <c r="E60" s="283" t="s">
        <v>714</v>
      </c>
      <c r="F60" s="234"/>
      <c r="G60" s="234">
        <f>SUM(H60:I60)</f>
        <v>7178.766</v>
      </c>
      <c r="H60" s="283" t="s">
        <v>714</v>
      </c>
      <c r="I60" s="234">
        <v>7178.766</v>
      </c>
      <c r="J60" s="234">
        <f>SUM(K60:L60)</f>
        <v>7437.585</v>
      </c>
      <c r="K60" s="283" t="s">
        <v>714</v>
      </c>
      <c r="L60" s="234">
        <v>7437.585</v>
      </c>
      <c r="N60" s="309">
        <f>L60+L61</f>
        <v>7437.585</v>
      </c>
    </row>
    <row r="61" spans="1:12" s="11" customFormat="1" ht="24">
      <c r="A61" s="201">
        <v>8196</v>
      </c>
      <c r="B61" s="167" t="s">
        <v>746</v>
      </c>
      <c r="C61" s="200"/>
      <c r="D61" s="233">
        <f>SUM(D57)</f>
        <v>0</v>
      </c>
      <c r="E61" s="283" t="s">
        <v>714</v>
      </c>
      <c r="F61" s="234"/>
      <c r="G61" s="234">
        <f>I61</f>
        <v>258.819</v>
      </c>
      <c r="H61" s="283" t="s">
        <v>714</v>
      </c>
      <c r="I61" s="234">
        <f>H57</f>
        <v>258.819</v>
      </c>
      <c r="J61" s="234">
        <f>L61</f>
        <v>0</v>
      </c>
      <c r="K61" s="283" t="s">
        <v>714</v>
      </c>
      <c r="L61" s="302"/>
    </row>
    <row r="62" spans="1:12" s="11" customFormat="1" ht="27" customHeight="1">
      <c r="A62" s="197">
        <v>8197</v>
      </c>
      <c r="B62" s="202" t="s">
        <v>747</v>
      </c>
      <c r="C62" s="203"/>
      <c r="D62" s="233">
        <f>SUM(E62:F62)</f>
        <v>0</v>
      </c>
      <c r="E62" s="283" t="s">
        <v>714</v>
      </c>
      <c r="F62" s="283"/>
      <c r="G62" s="234">
        <f>SUM(H62:I62)</f>
        <v>0</v>
      </c>
      <c r="H62" s="283" t="s">
        <v>714</v>
      </c>
      <c r="I62" s="283"/>
      <c r="J62" s="234">
        <f>SUM(K62:L62)</f>
        <v>0</v>
      </c>
      <c r="K62" s="283"/>
      <c r="L62" s="284"/>
    </row>
    <row r="63" spans="1:12" s="11" customFormat="1" ht="36">
      <c r="A63" s="197">
        <v>8198</v>
      </c>
      <c r="B63" s="204" t="s">
        <v>748</v>
      </c>
      <c r="C63" s="205"/>
      <c r="D63" s="233">
        <f>SUM(E63:F63)</f>
        <v>0</v>
      </c>
      <c r="E63" s="283" t="s">
        <v>29</v>
      </c>
      <c r="F63" s="234"/>
      <c r="G63" s="234">
        <f>SUM(H63:I63)</f>
        <v>0</v>
      </c>
      <c r="H63" s="283" t="s">
        <v>714</v>
      </c>
      <c r="I63" s="234"/>
      <c r="J63" s="234">
        <f>SUM(K63:L63)</f>
        <v>0</v>
      </c>
      <c r="K63" s="283" t="s">
        <v>714</v>
      </c>
      <c r="L63" s="235"/>
    </row>
    <row r="64" spans="1:12" s="11" customFormat="1" ht="48">
      <c r="A64" s="197">
        <v>8199</v>
      </c>
      <c r="B64" s="206" t="s">
        <v>749</v>
      </c>
      <c r="C64" s="205"/>
      <c r="D64" s="282">
        <f>SUM(E64:F64)</f>
        <v>0</v>
      </c>
      <c r="E64" s="283"/>
      <c r="F64" s="234"/>
      <c r="G64" s="283">
        <f>SUM(H64:I64)</f>
        <v>0</v>
      </c>
      <c r="H64" s="283"/>
      <c r="I64" s="234"/>
      <c r="J64" s="283">
        <f>SUM(K64:L64)</f>
        <v>-87275.296</v>
      </c>
      <c r="K64" s="304">
        <v>-44117.665</v>
      </c>
      <c r="L64" s="303">
        <v>-43157.631</v>
      </c>
    </row>
    <row r="65" spans="1:12" s="11" customFormat="1" ht="24">
      <c r="A65" s="197" t="s">
        <v>750</v>
      </c>
      <c r="B65" s="207" t="s">
        <v>0</v>
      </c>
      <c r="C65" s="205"/>
      <c r="D65" s="282">
        <f>SUM(E65:F65)</f>
        <v>0</v>
      </c>
      <c r="E65" s="283"/>
      <c r="F65" s="234"/>
      <c r="G65" s="283">
        <f>SUM(H65:I65)</f>
        <v>7437.585</v>
      </c>
      <c r="H65" s="283"/>
      <c r="I65" s="234">
        <v>7437.585</v>
      </c>
      <c r="J65" s="283">
        <f>SUM(K65:L65)</f>
        <v>7437.585</v>
      </c>
      <c r="K65" s="283"/>
      <c r="L65" s="234">
        <v>7437.585</v>
      </c>
    </row>
    <row r="66" spans="1:12" s="11" customFormat="1" ht="15.75" customHeight="1">
      <c r="A66" s="160">
        <v>8200</v>
      </c>
      <c r="B66" s="157" t="s">
        <v>415</v>
      </c>
      <c r="C66" s="198"/>
      <c r="D66" s="233">
        <f>SUM(D68)</f>
        <v>0</v>
      </c>
      <c r="E66" s="234">
        <f aca="true" t="shared" si="11" ref="E66:L66">SUM(E68)</f>
        <v>0</v>
      </c>
      <c r="F66" s="234">
        <f t="shared" si="11"/>
        <v>0</v>
      </c>
      <c r="G66" s="234">
        <f t="shared" si="11"/>
        <v>0</v>
      </c>
      <c r="H66" s="234">
        <f t="shared" si="11"/>
        <v>0</v>
      </c>
      <c r="I66" s="234">
        <f t="shared" si="11"/>
        <v>0</v>
      </c>
      <c r="J66" s="234">
        <f t="shared" si="11"/>
        <v>0</v>
      </c>
      <c r="K66" s="234">
        <f t="shared" si="11"/>
        <v>0</v>
      </c>
      <c r="L66" s="235">
        <f t="shared" si="11"/>
        <v>0</v>
      </c>
    </row>
    <row r="67" spans="1:12" s="11" customFormat="1" ht="12.75">
      <c r="A67" s="160"/>
      <c r="B67" s="159" t="s">
        <v>21</v>
      </c>
      <c r="C67" s="198"/>
      <c r="D67" s="233"/>
      <c r="E67" s="234"/>
      <c r="F67" s="234"/>
      <c r="G67" s="234"/>
      <c r="H67" s="234"/>
      <c r="I67" s="234"/>
      <c r="J67" s="234"/>
      <c r="K67" s="234"/>
      <c r="L67" s="235"/>
    </row>
    <row r="68" spans="1:12" s="11" customFormat="1" ht="24">
      <c r="A68" s="160">
        <v>8210</v>
      </c>
      <c r="B68" s="208" t="s">
        <v>1</v>
      </c>
      <c r="C68" s="198"/>
      <c r="D68" s="233">
        <f>SUM(D70,D74)</f>
        <v>0</v>
      </c>
      <c r="E68" s="234">
        <f aca="true" t="shared" si="12" ref="E68:L68">SUM(E70,E74)</f>
        <v>0</v>
      </c>
      <c r="F68" s="234">
        <f t="shared" si="12"/>
        <v>0</v>
      </c>
      <c r="G68" s="234">
        <f t="shared" si="12"/>
        <v>0</v>
      </c>
      <c r="H68" s="234">
        <f t="shared" si="12"/>
        <v>0</v>
      </c>
      <c r="I68" s="234">
        <f t="shared" si="12"/>
        <v>0</v>
      </c>
      <c r="J68" s="234">
        <f t="shared" si="12"/>
        <v>0</v>
      </c>
      <c r="K68" s="234">
        <f t="shared" si="12"/>
        <v>0</v>
      </c>
      <c r="L68" s="235">
        <f t="shared" si="12"/>
        <v>0</v>
      </c>
    </row>
    <row r="69" spans="1:12" s="11" customFormat="1" ht="12.75">
      <c r="A69" s="156"/>
      <c r="B69" s="167" t="s">
        <v>21</v>
      </c>
      <c r="C69" s="198"/>
      <c r="D69" s="233"/>
      <c r="E69" s="283"/>
      <c r="F69" s="234"/>
      <c r="G69" s="234"/>
      <c r="H69" s="283"/>
      <c r="I69" s="234"/>
      <c r="J69" s="234"/>
      <c r="K69" s="283"/>
      <c r="L69" s="235"/>
    </row>
    <row r="70" spans="1:12" s="11" customFormat="1" ht="24" customHeight="1">
      <c r="A70" s="160">
        <v>8211</v>
      </c>
      <c r="B70" s="163" t="s">
        <v>588</v>
      </c>
      <c r="C70" s="198"/>
      <c r="D70" s="289">
        <f>SUM(D72:D73)</f>
        <v>0</v>
      </c>
      <c r="E70" s="283" t="s">
        <v>714</v>
      </c>
      <c r="F70" s="247">
        <f>SUM(F72:F73)</f>
        <v>0</v>
      </c>
      <c r="G70" s="247">
        <f>SUM(G72:G73)</f>
        <v>0</v>
      </c>
      <c r="H70" s="283" t="s">
        <v>714</v>
      </c>
      <c r="I70" s="247">
        <f>SUM(I72:I73)</f>
        <v>0</v>
      </c>
      <c r="J70" s="247">
        <f>SUM(J72:J73)</f>
        <v>0</v>
      </c>
      <c r="K70" s="283" t="s">
        <v>714</v>
      </c>
      <c r="L70" s="288">
        <f>SUM(L72:L73)</f>
        <v>0</v>
      </c>
    </row>
    <row r="71" spans="1:12" s="11" customFormat="1" ht="12.75">
      <c r="A71" s="160"/>
      <c r="B71" s="164" t="s">
        <v>139</v>
      </c>
      <c r="C71" s="198"/>
      <c r="D71" s="289"/>
      <c r="E71" s="283"/>
      <c r="F71" s="247"/>
      <c r="G71" s="247"/>
      <c r="H71" s="283"/>
      <c r="I71" s="247"/>
      <c r="J71" s="247"/>
      <c r="K71" s="283"/>
      <c r="L71" s="288"/>
    </row>
    <row r="72" spans="1:12" s="11" customFormat="1" ht="12.75">
      <c r="A72" s="160">
        <v>8212</v>
      </c>
      <c r="B72" s="165" t="s">
        <v>715</v>
      </c>
      <c r="C72" s="177" t="s">
        <v>2</v>
      </c>
      <c r="D72" s="233">
        <f>SUM(E72:F72)</f>
        <v>0</v>
      </c>
      <c r="E72" s="283" t="s">
        <v>714</v>
      </c>
      <c r="F72" s="247"/>
      <c r="G72" s="234">
        <f>SUM(H72:I72)</f>
        <v>0</v>
      </c>
      <c r="H72" s="283" t="s">
        <v>714</v>
      </c>
      <c r="I72" s="247"/>
      <c r="J72" s="234">
        <f>SUM(K72:L72)</f>
        <v>0</v>
      </c>
      <c r="K72" s="283" t="s">
        <v>714</v>
      </c>
      <c r="L72" s="288"/>
    </row>
    <row r="73" spans="1:12" s="11" customFormat="1" ht="12.75">
      <c r="A73" s="160">
        <v>8213</v>
      </c>
      <c r="B73" s="165" t="s">
        <v>717</v>
      </c>
      <c r="C73" s="177" t="s">
        <v>3</v>
      </c>
      <c r="D73" s="233">
        <f>SUM(E73:F73)</f>
        <v>0</v>
      </c>
      <c r="E73" s="283" t="s">
        <v>714</v>
      </c>
      <c r="F73" s="247"/>
      <c r="G73" s="234">
        <f>SUM(H73:I73)</f>
        <v>0</v>
      </c>
      <c r="H73" s="283" t="s">
        <v>714</v>
      </c>
      <c r="I73" s="247"/>
      <c r="J73" s="234">
        <f>SUM(K73:L73)</f>
        <v>0</v>
      </c>
      <c r="K73" s="283" t="s">
        <v>714</v>
      </c>
      <c r="L73" s="288"/>
    </row>
    <row r="74" spans="1:12" ht="24">
      <c r="A74" s="160">
        <v>8220</v>
      </c>
      <c r="B74" s="163" t="s">
        <v>4</v>
      </c>
      <c r="C74" s="209"/>
      <c r="D74" s="289">
        <f>SUM(D76,D80)</f>
        <v>0</v>
      </c>
      <c r="E74" s="247">
        <f aca="true" t="shared" si="13" ref="E74:L74">SUM(E76,E80)</f>
        <v>0</v>
      </c>
      <c r="F74" s="247">
        <f t="shared" si="13"/>
        <v>0</v>
      </c>
      <c r="G74" s="247">
        <f t="shared" si="13"/>
        <v>0</v>
      </c>
      <c r="H74" s="247">
        <f t="shared" si="13"/>
        <v>0</v>
      </c>
      <c r="I74" s="247">
        <f t="shared" si="13"/>
        <v>0</v>
      </c>
      <c r="J74" s="247">
        <f t="shared" si="13"/>
        <v>0</v>
      </c>
      <c r="K74" s="247">
        <f t="shared" si="13"/>
        <v>0</v>
      </c>
      <c r="L74" s="288">
        <f t="shared" si="13"/>
        <v>0</v>
      </c>
    </row>
    <row r="75" spans="1:12" ht="12.75">
      <c r="A75" s="160"/>
      <c r="B75" s="164" t="s">
        <v>21</v>
      </c>
      <c r="C75" s="209"/>
      <c r="D75" s="289"/>
      <c r="E75" s="247"/>
      <c r="F75" s="247"/>
      <c r="G75" s="247"/>
      <c r="H75" s="247"/>
      <c r="I75" s="247"/>
      <c r="J75" s="247"/>
      <c r="K75" s="247"/>
      <c r="L75" s="288"/>
    </row>
    <row r="76" spans="1:12" ht="12.75">
      <c r="A76" s="160">
        <v>8221</v>
      </c>
      <c r="B76" s="163" t="s">
        <v>589</v>
      </c>
      <c r="C76" s="209"/>
      <c r="D76" s="289">
        <f>SUM(D78:D79)</f>
        <v>0</v>
      </c>
      <c r="E76" s="283" t="s">
        <v>714</v>
      </c>
      <c r="F76" s="247">
        <f>SUM(F78:F79)</f>
        <v>0</v>
      </c>
      <c r="G76" s="247">
        <f>SUM(G78:G79)</f>
        <v>0</v>
      </c>
      <c r="H76" s="283" t="s">
        <v>714</v>
      </c>
      <c r="I76" s="247">
        <f>SUM(I78:I79)</f>
        <v>0</v>
      </c>
      <c r="J76" s="247">
        <f>SUM(J78:J79)</f>
        <v>0</v>
      </c>
      <c r="K76" s="283" t="s">
        <v>714</v>
      </c>
      <c r="L76" s="288">
        <f>SUM(L78:L79)</f>
        <v>0</v>
      </c>
    </row>
    <row r="77" spans="1:12" ht="12.75">
      <c r="A77" s="160"/>
      <c r="B77" s="164" t="s">
        <v>530</v>
      </c>
      <c r="C77" s="209"/>
      <c r="D77" s="289"/>
      <c r="E77" s="283"/>
      <c r="F77" s="247"/>
      <c r="G77" s="247"/>
      <c r="H77" s="283"/>
      <c r="I77" s="247"/>
      <c r="J77" s="247"/>
      <c r="K77" s="283"/>
      <c r="L77" s="288"/>
    </row>
    <row r="78" spans="1:12" ht="12.75">
      <c r="A78" s="156">
        <v>8222</v>
      </c>
      <c r="B78" s="167" t="s">
        <v>719</v>
      </c>
      <c r="C78" s="177" t="s">
        <v>5</v>
      </c>
      <c r="D78" s="233">
        <f>SUM(E78:F78)</f>
        <v>0</v>
      </c>
      <c r="E78" s="283" t="s">
        <v>714</v>
      </c>
      <c r="F78" s="247"/>
      <c r="G78" s="234">
        <f>SUM(H78:I78)</f>
        <v>0</v>
      </c>
      <c r="H78" s="283" t="s">
        <v>714</v>
      </c>
      <c r="I78" s="247"/>
      <c r="J78" s="234">
        <f>SUM(K78:L78)</f>
        <v>0</v>
      </c>
      <c r="K78" s="283" t="s">
        <v>714</v>
      </c>
      <c r="L78" s="288"/>
    </row>
    <row r="79" spans="1:12" ht="12.75">
      <c r="A79" s="156">
        <v>8230</v>
      </c>
      <c r="B79" s="167" t="s">
        <v>723</v>
      </c>
      <c r="C79" s="177" t="s">
        <v>6</v>
      </c>
      <c r="D79" s="233">
        <f>SUM(E79:F79)</f>
        <v>0</v>
      </c>
      <c r="E79" s="283" t="s">
        <v>714</v>
      </c>
      <c r="F79" s="247"/>
      <c r="G79" s="234">
        <f>SUM(H79:I79)</f>
        <v>0</v>
      </c>
      <c r="H79" s="283" t="s">
        <v>714</v>
      </c>
      <c r="I79" s="247"/>
      <c r="J79" s="234">
        <f>SUM(K79:L79)</f>
        <v>0</v>
      </c>
      <c r="K79" s="283" t="s">
        <v>714</v>
      </c>
      <c r="L79" s="288"/>
    </row>
    <row r="80" spans="1:12" ht="12.75">
      <c r="A80" s="156">
        <v>8240</v>
      </c>
      <c r="B80" s="163" t="s">
        <v>590</v>
      </c>
      <c r="C80" s="209"/>
      <c r="D80" s="289">
        <f>SUM(D82:D83)</f>
        <v>0</v>
      </c>
      <c r="E80" s="247">
        <f aca="true" t="shared" si="14" ref="E80:L80">SUM(E82:E83)</f>
        <v>0</v>
      </c>
      <c r="F80" s="247">
        <f t="shared" si="14"/>
        <v>0</v>
      </c>
      <c r="G80" s="247">
        <f t="shared" si="14"/>
        <v>0</v>
      </c>
      <c r="H80" s="247">
        <f t="shared" si="14"/>
        <v>0</v>
      </c>
      <c r="I80" s="247">
        <f t="shared" si="14"/>
        <v>0</v>
      </c>
      <c r="J80" s="247">
        <f t="shared" si="14"/>
        <v>0</v>
      </c>
      <c r="K80" s="247">
        <f t="shared" si="14"/>
        <v>0</v>
      </c>
      <c r="L80" s="288">
        <f t="shared" si="14"/>
        <v>0</v>
      </c>
    </row>
    <row r="81" spans="1:12" ht="12.75">
      <c r="A81" s="160"/>
      <c r="B81" s="164" t="s">
        <v>530</v>
      </c>
      <c r="C81" s="209"/>
      <c r="D81" s="289"/>
      <c r="E81" s="247"/>
      <c r="F81" s="247"/>
      <c r="G81" s="247"/>
      <c r="H81" s="247"/>
      <c r="I81" s="247"/>
      <c r="J81" s="247"/>
      <c r="K81" s="247"/>
      <c r="L81" s="288"/>
    </row>
    <row r="82" spans="1:12" ht="12.75">
      <c r="A82" s="156">
        <v>8241</v>
      </c>
      <c r="B82" s="167" t="s">
        <v>7</v>
      </c>
      <c r="C82" s="177" t="s">
        <v>5</v>
      </c>
      <c r="D82" s="233">
        <f>SUM(E82:F82)</f>
        <v>0</v>
      </c>
      <c r="E82" s="247"/>
      <c r="F82" s="247" t="s">
        <v>29</v>
      </c>
      <c r="G82" s="234">
        <f>SUM(H82:I82)</f>
        <v>0</v>
      </c>
      <c r="H82" s="247"/>
      <c r="I82" s="247" t="s">
        <v>29</v>
      </c>
      <c r="J82" s="234">
        <f>SUM(K82:L82)</f>
        <v>0</v>
      </c>
      <c r="K82" s="247"/>
      <c r="L82" s="288" t="s">
        <v>29</v>
      </c>
    </row>
    <row r="83" spans="1:12" ht="13.5" thickBot="1">
      <c r="A83" s="172">
        <v>8250</v>
      </c>
      <c r="B83" s="173" t="s">
        <v>729</v>
      </c>
      <c r="C83" s="210" t="s">
        <v>6</v>
      </c>
      <c r="D83" s="236">
        <f>SUM(E83:F83)</f>
        <v>0</v>
      </c>
      <c r="E83" s="290"/>
      <c r="F83" s="237" t="s">
        <v>29</v>
      </c>
      <c r="G83" s="237">
        <f>SUM(H83:I83)</f>
        <v>0</v>
      </c>
      <c r="H83" s="290"/>
      <c r="I83" s="237" t="s">
        <v>29</v>
      </c>
      <c r="J83" s="237">
        <f>SUM(K83:L83)</f>
        <v>0</v>
      </c>
      <c r="K83" s="290"/>
      <c r="L83" s="238" t="s">
        <v>29</v>
      </c>
    </row>
    <row r="84" spans="1:12" ht="12.75">
      <c r="A84" s="105"/>
      <c r="B84" s="105"/>
      <c r="C84" s="211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1:12" s="87" customFormat="1" ht="41.25" customHeight="1">
      <c r="A85" s="382" t="s">
        <v>8</v>
      </c>
      <c r="B85" s="382"/>
      <c r="C85" s="382"/>
      <c r="D85" s="382"/>
      <c r="E85" s="382"/>
      <c r="F85" s="382"/>
      <c r="G85" s="382"/>
      <c r="H85" s="382"/>
      <c r="I85" s="382"/>
      <c r="J85" s="382"/>
      <c r="K85" s="382"/>
      <c r="L85" s="102"/>
    </row>
    <row r="86" spans="1:12" s="87" customFormat="1" ht="31.5" customHeight="1">
      <c r="A86" s="382" t="s">
        <v>9</v>
      </c>
      <c r="B86" s="382"/>
      <c r="C86" s="382"/>
      <c r="D86" s="382"/>
      <c r="E86" s="382"/>
      <c r="F86" s="382"/>
      <c r="G86" s="382"/>
      <c r="H86" s="382"/>
      <c r="I86" s="382"/>
      <c r="J86" s="382"/>
      <c r="K86" s="382"/>
      <c r="L86" s="102"/>
    </row>
    <row r="87" spans="1:12" s="87" customFormat="1" ht="33" customHeight="1">
      <c r="A87" s="382" t="s">
        <v>10</v>
      </c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102"/>
    </row>
    <row r="88" spans="1:12" ht="30.75" customHeight="1">
      <c r="A88" s="382" t="s">
        <v>11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105"/>
    </row>
    <row r="89" ht="12.75">
      <c r="C89" s="212"/>
    </row>
    <row r="90" ht="12.75">
      <c r="C90" s="212"/>
    </row>
    <row r="91" ht="12.75">
      <c r="C91" s="212"/>
    </row>
    <row r="92" ht="12.75">
      <c r="C92" s="212"/>
    </row>
    <row r="93" ht="12.75">
      <c r="C93" s="212"/>
    </row>
    <row r="94" ht="12.75">
      <c r="C94" s="212"/>
    </row>
    <row r="95" ht="12.75">
      <c r="C95" s="212"/>
    </row>
    <row r="96" ht="12.75">
      <c r="C96" s="212"/>
    </row>
    <row r="97" ht="12.75">
      <c r="C97" s="212"/>
    </row>
    <row r="98" ht="12.75">
      <c r="C98" s="212"/>
    </row>
    <row r="99" ht="12.75">
      <c r="C99" s="212"/>
    </row>
    <row r="100" ht="12.75">
      <c r="C100" s="212"/>
    </row>
    <row r="101" ht="12.75">
      <c r="C101" s="212"/>
    </row>
    <row r="102" ht="12.75">
      <c r="C102" s="212"/>
    </row>
    <row r="103" ht="12.75">
      <c r="C103" s="212"/>
    </row>
    <row r="104" ht="12.75">
      <c r="C104" s="212"/>
    </row>
    <row r="105" ht="12.75">
      <c r="C105" s="212"/>
    </row>
    <row r="106" ht="12.75">
      <c r="C106" s="212"/>
    </row>
    <row r="107" ht="12.75">
      <c r="C107" s="212"/>
    </row>
    <row r="108" ht="12.75">
      <c r="C108" s="212"/>
    </row>
    <row r="109" ht="12.75">
      <c r="C109" s="212"/>
    </row>
    <row r="110" ht="12.75">
      <c r="C110" s="212"/>
    </row>
    <row r="111" ht="12.75">
      <c r="C111" s="212"/>
    </row>
    <row r="112" ht="12.75">
      <c r="C112" s="212"/>
    </row>
    <row r="113" ht="12.75">
      <c r="C113" s="212"/>
    </row>
    <row r="114" ht="12.75">
      <c r="C114" s="212"/>
    </row>
    <row r="115" ht="12.75">
      <c r="C115" s="212"/>
    </row>
    <row r="116" ht="12.75">
      <c r="C116" s="212"/>
    </row>
    <row r="117" ht="12.75">
      <c r="C117" s="212"/>
    </row>
    <row r="118" ht="12.75">
      <c r="C118" s="212"/>
    </row>
    <row r="119" ht="12.75">
      <c r="C119" s="212"/>
    </row>
    <row r="120" ht="12.75">
      <c r="C120" s="212"/>
    </row>
    <row r="121" ht="12.75">
      <c r="C121" s="212"/>
    </row>
    <row r="122" ht="12.75">
      <c r="C122" s="212"/>
    </row>
    <row r="123" ht="12.75">
      <c r="C123" s="212"/>
    </row>
    <row r="124" ht="12.75">
      <c r="C124" s="212"/>
    </row>
    <row r="125" ht="12.75">
      <c r="C125" s="212"/>
    </row>
    <row r="126" ht="12.75">
      <c r="C126" s="212"/>
    </row>
    <row r="127" ht="12.75">
      <c r="C127" s="212"/>
    </row>
    <row r="128" ht="12.75">
      <c r="C128" s="212"/>
    </row>
    <row r="129" ht="12.75">
      <c r="C129" s="212"/>
    </row>
    <row r="130" ht="12.75">
      <c r="C130" s="212"/>
    </row>
    <row r="131" ht="12.75">
      <c r="C131" s="212"/>
    </row>
    <row r="132" ht="12.75">
      <c r="C132" s="212"/>
    </row>
    <row r="133" ht="12.75">
      <c r="C133" s="212"/>
    </row>
    <row r="134" ht="12.75">
      <c r="C134" s="212"/>
    </row>
    <row r="135" ht="12.75">
      <c r="C135" s="212"/>
    </row>
    <row r="136" ht="12.75">
      <c r="C136" s="212"/>
    </row>
    <row r="137" ht="12.75">
      <c r="C137" s="212"/>
    </row>
    <row r="138" ht="12.75">
      <c r="C138" s="212"/>
    </row>
    <row r="139" ht="12.75">
      <c r="C139" s="212"/>
    </row>
    <row r="140" ht="12.75">
      <c r="C140" s="212"/>
    </row>
    <row r="141" ht="12.75">
      <c r="C141" s="212"/>
    </row>
    <row r="142" ht="12.75">
      <c r="C142" s="212"/>
    </row>
    <row r="143" ht="12.75">
      <c r="C143" s="212"/>
    </row>
    <row r="144" ht="12.75">
      <c r="C144" s="212"/>
    </row>
    <row r="145" ht="12.75">
      <c r="C145" s="212"/>
    </row>
    <row r="146" ht="12.75">
      <c r="C146" s="212"/>
    </row>
    <row r="147" ht="12.75">
      <c r="C147" s="212"/>
    </row>
    <row r="148" ht="12.75">
      <c r="C148" s="212"/>
    </row>
    <row r="149" ht="12.75">
      <c r="C149" s="212"/>
    </row>
    <row r="150" ht="12.75">
      <c r="C150" s="212"/>
    </row>
    <row r="151" ht="12.75">
      <c r="C151" s="212"/>
    </row>
    <row r="152" ht="12.75">
      <c r="C152" s="212"/>
    </row>
    <row r="153" ht="12.75">
      <c r="C153" s="212"/>
    </row>
    <row r="154" ht="12.75">
      <c r="C154" s="212"/>
    </row>
    <row r="155" ht="12.75">
      <c r="C155" s="212"/>
    </row>
    <row r="156" ht="12.75">
      <c r="C156" s="212"/>
    </row>
    <row r="157" ht="12.75">
      <c r="C157" s="212"/>
    </row>
    <row r="158" ht="12.75">
      <c r="C158" s="212"/>
    </row>
    <row r="159" ht="12.75">
      <c r="C159" s="212"/>
    </row>
    <row r="160" ht="12.75">
      <c r="C160" s="212"/>
    </row>
    <row r="161" ht="12.75">
      <c r="C161" s="212"/>
    </row>
    <row r="162" ht="12.75">
      <c r="C162" s="212"/>
    </row>
    <row r="163" ht="12.75">
      <c r="C163" s="212"/>
    </row>
    <row r="164" ht="12.75">
      <c r="C164" s="212"/>
    </row>
    <row r="165" ht="12.75">
      <c r="C165" s="212"/>
    </row>
    <row r="166" ht="12.75">
      <c r="C166" s="212"/>
    </row>
    <row r="167" ht="12.75">
      <c r="C167" s="212"/>
    </row>
    <row r="168" ht="12.75">
      <c r="C168" s="212"/>
    </row>
    <row r="169" ht="12.75">
      <c r="C169" s="212"/>
    </row>
    <row r="170" ht="12.75">
      <c r="C170" s="212"/>
    </row>
    <row r="171" ht="12.75">
      <c r="C171" s="212"/>
    </row>
    <row r="172" ht="12.75">
      <c r="C172" s="212"/>
    </row>
    <row r="173" ht="12.75">
      <c r="C173" s="212"/>
    </row>
    <row r="174" ht="12.75">
      <c r="C174" s="212"/>
    </row>
    <row r="175" ht="12.75">
      <c r="C175" s="212"/>
    </row>
    <row r="176" ht="12.75">
      <c r="C176" s="212"/>
    </row>
    <row r="177" ht="12.75">
      <c r="C177" s="212"/>
    </row>
    <row r="178" ht="12.75">
      <c r="C178" s="212"/>
    </row>
    <row r="179" ht="12.75">
      <c r="C179" s="212"/>
    </row>
    <row r="180" ht="12.75">
      <c r="C180" s="212"/>
    </row>
    <row r="181" ht="12.75">
      <c r="C181" s="212"/>
    </row>
    <row r="182" ht="12.75">
      <c r="C182" s="212"/>
    </row>
    <row r="183" ht="12.75">
      <c r="C183" s="212"/>
    </row>
    <row r="184" ht="12.75">
      <c r="C184" s="212"/>
    </row>
    <row r="185" ht="12.75">
      <c r="C185" s="212"/>
    </row>
    <row r="186" ht="12.75">
      <c r="C186" s="212"/>
    </row>
    <row r="187" ht="12.75">
      <c r="C187" s="212"/>
    </row>
    <row r="188" ht="12.75">
      <c r="C188" s="212"/>
    </row>
    <row r="189" ht="12.75">
      <c r="C189" s="212"/>
    </row>
    <row r="190" ht="12.75">
      <c r="C190" s="212"/>
    </row>
    <row r="191" ht="12.75">
      <c r="C191" s="212"/>
    </row>
    <row r="192" ht="12.75">
      <c r="C192" s="212"/>
    </row>
    <row r="193" ht="12.75">
      <c r="C193" s="212"/>
    </row>
    <row r="194" ht="12.75">
      <c r="C194" s="212"/>
    </row>
    <row r="195" ht="12.75">
      <c r="C195" s="212"/>
    </row>
    <row r="196" ht="12.75">
      <c r="C196" s="212"/>
    </row>
    <row r="197" ht="12.75">
      <c r="C197" s="212"/>
    </row>
    <row r="198" ht="12.75">
      <c r="C198" s="212"/>
    </row>
    <row r="199" ht="12.75">
      <c r="C199" s="212"/>
    </row>
    <row r="200" ht="12.75">
      <c r="C200" s="212"/>
    </row>
    <row r="201" ht="12.75">
      <c r="C201" s="212"/>
    </row>
    <row r="202" ht="12.75">
      <c r="C202" s="212"/>
    </row>
    <row r="203" ht="12.75">
      <c r="C203" s="212"/>
    </row>
    <row r="204" ht="12.75">
      <c r="C204" s="212"/>
    </row>
    <row r="205" ht="12.75">
      <c r="C205" s="212"/>
    </row>
    <row r="206" ht="12.75">
      <c r="C206" s="212"/>
    </row>
    <row r="207" ht="12.75">
      <c r="C207" s="212"/>
    </row>
    <row r="208" ht="12.75">
      <c r="C208" s="212"/>
    </row>
    <row r="209" ht="12.75">
      <c r="C209" s="212"/>
    </row>
    <row r="210" ht="12.75">
      <c r="C210" s="212"/>
    </row>
    <row r="211" ht="12.75">
      <c r="C211" s="212"/>
    </row>
    <row r="212" ht="12.75">
      <c r="C212" s="212"/>
    </row>
    <row r="213" ht="12.75">
      <c r="C213" s="212"/>
    </row>
    <row r="214" ht="12.75">
      <c r="C214" s="212"/>
    </row>
    <row r="215" ht="12.75">
      <c r="C215" s="212"/>
    </row>
    <row r="216" ht="12.75">
      <c r="C216" s="212"/>
    </row>
    <row r="217" ht="12.75">
      <c r="C217" s="212"/>
    </row>
    <row r="218" ht="12.75">
      <c r="C218" s="212"/>
    </row>
    <row r="219" ht="12.75">
      <c r="C219" s="212"/>
    </row>
    <row r="220" ht="12.75">
      <c r="C220" s="212"/>
    </row>
    <row r="221" ht="12.75">
      <c r="C221" s="212"/>
    </row>
    <row r="222" ht="12.75">
      <c r="C222" s="212"/>
    </row>
    <row r="223" ht="12.75">
      <c r="C223" s="212"/>
    </row>
    <row r="224" ht="12.75">
      <c r="C224" s="212"/>
    </row>
    <row r="225" ht="12.75">
      <c r="C225" s="212"/>
    </row>
    <row r="226" ht="12.75">
      <c r="C226" s="212"/>
    </row>
    <row r="227" ht="12.75">
      <c r="C227" s="212"/>
    </row>
    <row r="228" ht="12.75">
      <c r="C228" s="212"/>
    </row>
    <row r="229" ht="12.75">
      <c r="C229" s="212"/>
    </row>
    <row r="230" ht="12.75">
      <c r="C230" s="212"/>
    </row>
    <row r="231" ht="12.75">
      <c r="C231" s="212"/>
    </row>
    <row r="232" ht="12.75">
      <c r="C232" s="212"/>
    </row>
    <row r="233" ht="12.75">
      <c r="C233" s="212"/>
    </row>
    <row r="234" ht="12.75">
      <c r="C234" s="212"/>
    </row>
    <row r="235" ht="12.75">
      <c r="C235" s="212"/>
    </row>
    <row r="236" ht="12.75">
      <c r="C236" s="212"/>
    </row>
    <row r="237" ht="12.75">
      <c r="C237" s="212"/>
    </row>
    <row r="238" ht="12.75">
      <c r="C238" s="212"/>
    </row>
    <row r="239" ht="12.75">
      <c r="C239" s="212"/>
    </row>
    <row r="240" ht="12.75">
      <c r="C240" s="212"/>
    </row>
    <row r="241" ht="12.75">
      <c r="C241" s="212"/>
    </row>
    <row r="242" ht="12.75">
      <c r="C242" s="212"/>
    </row>
    <row r="243" ht="12.75">
      <c r="C243" s="212"/>
    </row>
    <row r="244" ht="12.75">
      <c r="C244" s="212"/>
    </row>
    <row r="245" ht="12.75">
      <c r="C245" s="212"/>
    </row>
    <row r="246" ht="12.75">
      <c r="C246" s="212"/>
    </row>
    <row r="247" ht="12.75">
      <c r="C247" s="212"/>
    </row>
    <row r="248" ht="12.75">
      <c r="C248" s="212"/>
    </row>
    <row r="249" ht="12.75">
      <c r="C249" s="212"/>
    </row>
    <row r="250" ht="12.75">
      <c r="C250" s="212"/>
    </row>
    <row r="251" ht="12.75">
      <c r="C251" s="212"/>
    </row>
    <row r="252" ht="12.75">
      <c r="C252" s="212"/>
    </row>
    <row r="253" ht="12.75">
      <c r="C253" s="212"/>
    </row>
  </sheetData>
  <sheetProtection/>
  <protectedRanges>
    <protectedRange sqref="F73" name="Range23"/>
    <protectedRange sqref="F51" name="Range21"/>
    <protectedRange sqref="I51" name="Range19"/>
    <protectedRange sqref="I45" name="Range17"/>
    <protectedRange sqref="L62" name="Range15"/>
    <protectedRange sqref="L50" name="Range13"/>
    <protectedRange sqref="L30" name="Range11"/>
    <protectedRange sqref="K65" name="Range9"/>
    <protectedRange sqref="K65" name="Range7"/>
    <protectedRange sqref="E64:F65 H64:I64 I65 E82:E83 D67:L67 D69:L69 D71:L71 F72:F73 I72:I73 L72:L73 D75:L75 D77:L77 L78:L79 I78:I79 F78:F79 D81:L81 K82:K83 H82:H83 L65 L60" name="Range5"/>
    <protectedRange sqref="D28:L28 L29:L30 I29:I30 F29:F30 D32:L32 D34:L34 E35:E36 H35:H36 K35:K36 D38:L38 E39:E40 H39:H40 K39:K40 D42:L42 D44:L44 D45 F45:F47 I45:I47 L45:L47" name="Range3"/>
    <protectedRange sqref="B2:L2 M1:IV3 A1:L1 A3:L3" name="Range1"/>
    <protectedRange sqref="D10:L10 D12:L12 D14:L14 D16:L16 F17:F18 I17:I18 L17:L18 D20:L20 D22:L22 D24:L24 F25:F26 I25:I26 L25:L26" name="Range2"/>
    <protectedRange sqref="D49:L49 K50:L51 H50:I51 E50:F51 D53:L53 K54:K56 H54:H56 E54:E56 D55:L55 D59:L59 I63 I60 F60 F62:F63 L63 L61" name="Range4"/>
    <protectedRange sqref="H65" name="Range6"/>
    <protectedRange sqref="H65" name="Range8"/>
    <protectedRange sqref="L29" name="Range10"/>
    <protectedRange sqref="L45" name="Range12"/>
    <protectedRange sqref="L51" name="Range14"/>
    <protectedRange sqref="I50" name="Range16"/>
    <protectedRange sqref="I62" name="Range18"/>
    <protectedRange sqref="F50" name="Range20"/>
    <protectedRange sqref="F45" name="Range22"/>
    <protectedRange sqref="K64:L64" name="Range5_1"/>
  </protectedRanges>
  <mergeCells count="16">
    <mergeCell ref="J5:L5"/>
    <mergeCell ref="D6:D7"/>
    <mergeCell ref="D5:F5"/>
    <mergeCell ref="G5:I5"/>
    <mergeCell ref="G6:G7"/>
    <mergeCell ref="J6:J7"/>
    <mergeCell ref="A87:K87"/>
    <mergeCell ref="A88:K88"/>
    <mergeCell ref="A1:K1"/>
    <mergeCell ref="B2:L2"/>
    <mergeCell ref="A3:K3"/>
    <mergeCell ref="J4:K4"/>
    <mergeCell ref="A5:A7"/>
    <mergeCell ref="B5:C6"/>
    <mergeCell ref="A85:K85"/>
    <mergeCell ref="A86:K86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2018-10-01T12:36:13Z</cp:lastPrinted>
  <dcterms:created xsi:type="dcterms:W3CDTF">2009-05-04T09:47:57Z</dcterms:created>
  <dcterms:modified xsi:type="dcterms:W3CDTF">2018-10-02T05:56:29Z</dcterms:modified>
  <cp:category/>
  <cp:version/>
  <cp:contentType/>
  <cp:contentStatus/>
</cp:coreProperties>
</file>